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7875" activeTab="0"/>
  </bookViews>
  <sheets>
    <sheet name="Informajca" sheetId="1" r:id="rId1"/>
    <sheet name="JUD za 2022 wypłw 2022" sheetId="2" r:id="rId2"/>
    <sheet name="Zródła finansowania 2022" sheetId="3" r:id="rId3"/>
  </sheets>
  <definedNames/>
  <calcPr fullCalcOnLoad="1"/>
</workbook>
</file>

<file path=xl/sharedStrings.xml><?xml version="1.0" encoding="utf-8"?>
<sst xmlns="http://schemas.openxmlformats.org/spreadsheetml/2006/main" count="251" uniqueCount="156">
  <si>
    <t>przedszkola</t>
  </si>
  <si>
    <t>dowożenie uczniów do szkół</t>
  </si>
  <si>
    <t>dokształcanie i doskonalenie nauczycieli</t>
  </si>
  <si>
    <t>pozostała działalność</t>
  </si>
  <si>
    <t xml:space="preserve">świetlice szkolne </t>
  </si>
  <si>
    <t>Jednostka</t>
  </si>
  <si>
    <t>Rozdział</t>
  </si>
  <si>
    <t xml:space="preserve">Wykonanie </t>
  </si>
  <si>
    <t xml:space="preserve">Plan </t>
  </si>
  <si>
    <t>% wykonania</t>
  </si>
  <si>
    <t>Razem</t>
  </si>
  <si>
    <t>OGÓŁEM</t>
  </si>
  <si>
    <t xml:space="preserve">Kwota wydatków </t>
  </si>
  <si>
    <t xml:space="preserve">2. Wydatki poniesione na wynagrodzenia i pochodne od wynagrodzeń </t>
  </si>
  <si>
    <t>Ogółem</t>
  </si>
  <si>
    <t>RAZEM</t>
  </si>
  <si>
    <t>1. SP Górniki</t>
  </si>
  <si>
    <t xml:space="preserve">zadania wymagające stosowania specjalnej organizacji nauki i metod pracy </t>
  </si>
  <si>
    <t>dla dzieci w przedszkolach, oddziałach przedszkolnych</t>
  </si>
  <si>
    <t>dla dzieci w szkołach podstawowych</t>
  </si>
  <si>
    <t xml:space="preserve">materiałów edukacyjnych lub materiałów ćwiczeniowych </t>
  </si>
  <si>
    <t>1.SP Górniki</t>
  </si>
  <si>
    <t>Wydatki na zakup energii i gazu, wody (§4260)</t>
  </si>
  <si>
    <t>Art. spożywcze  (§4220)</t>
  </si>
  <si>
    <t>Wydatki na zakup usług pozostałych  (§4300)</t>
  </si>
  <si>
    <t>Wydatki na usługi telekomunikacyjne (§4360)</t>
  </si>
  <si>
    <t>Wydatki na usługi zdrowotne (§4280)</t>
  </si>
  <si>
    <t>Opłata za śmieci (§4520)</t>
  </si>
  <si>
    <t>Razem wydatki</t>
  </si>
  <si>
    <t>Otrzymano także następujące dotacje:</t>
  </si>
  <si>
    <t>Do wiadomości:</t>
  </si>
  <si>
    <t>1. Adresat</t>
  </si>
  <si>
    <t>2. A/a</t>
  </si>
  <si>
    <t>Pozostałe opłaty i podatki (§4430  §4480 §4500)</t>
  </si>
  <si>
    <t>Nazwa źródła</t>
  </si>
  <si>
    <t>SP Górniki</t>
  </si>
  <si>
    <t>SP Kapałów</t>
  </si>
  <si>
    <t>SP Kłucko</t>
  </si>
  <si>
    <t>S.Przedszkole</t>
  </si>
  <si>
    <t>SP Radoszyce</t>
  </si>
  <si>
    <t>SP Wilczkowice</t>
  </si>
  <si>
    <t>CUW</t>
  </si>
  <si>
    <t>środki z budżetu gminy</t>
  </si>
  <si>
    <t>subwencja oświatowa</t>
  </si>
  <si>
    <t>dotacja na wychowanie przedszkolne</t>
  </si>
  <si>
    <t>dotacja na podręczniki</t>
  </si>
  <si>
    <t>Załączniki:</t>
  </si>
  <si>
    <t>szkoły podstawowe</t>
  </si>
  <si>
    <t xml:space="preserve">zapewnienie uczniom prawa do bezpłatnego dostępu do podręczników, </t>
  </si>
  <si>
    <t xml:space="preserve"> oraz na szkolenia obsługi -§4300,§4700</t>
  </si>
  <si>
    <t>energię elektryczną, wodę i art.spożywcze -§4210, §4240, §4260, §4220</t>
  </si>
  <si>
    <t>na wyodrębnione konto funduszu -§ 4440</t>
  </si>
  <si>
    <t>oddziały przedszkolne w szkołach podstawowych</t>
  </si>
  <si>
    <t>stołówki szkolne i przedszkolne</t>
  </si>
  <si>
    <t>wspólna obsługa jednostek samorządu terytorialnego</t>
  </si>
  <si>
    <t xml:space="preserve">Załącznik do pisma znak: </t>
  </si>
  <si>
    <t xml:space="preserve">Dane zawarte w powyższych tabelach zostały opracowane na podstawie sprawozdań rocznych </t>
  </si>
  <si>
    <t>szkół podstawowych oraz przedszkola, dla których organem prowadzącym jest Gmina Radoszyce.</t>
  </si>
  <si>
    <t xml:space="preserve">Wykonanie planów finansowych przez szkoły, przedszkole i CUW </t>
  </si>
  <si>
    <t>x</t>
  </si>
  <si>
    <r>
      <t>dla nauczycieli będących emerytami -</t>
    </r>
    <r>
      <rPr>
        <b/>
        <sz val="12"/>
        <color indexed="8"/>
        <rFont val="Arial Narrow"/>
        <family val="2"/>
      </rPr>
      <t xml:space="preserve"> 5% pobieranych przez nich emerytur i rent</t>
    </r>
  </si>
  <si>
    <t>Uwagi</t>
  </si>
  <si>
    <t>Ich działalność przedstawiała się w następujących rozdziałach budżetowych:</t>
  </si>
  <si>
    <t>3. Wydatki poniesione na wynagrodzenia bezosobowe-  §4170</t>
  </si>
  <si>
    <t>2. SP Kapałów</t>
  </si>
  <si>
    <t>3. SP Kłucko</t>
  </si>
  <si>
    <t xml:space="preserve">4. SP Radoszyce </t>
  </si>
  <si>
    <t xml:space="preserve">5. Samorządowe Przedszkole </t>
  </si>
  <si>
    <t>6. SP Wilczkowice</t>
  </si>
  <si>
    <t xml:space="preserve">7. CUW Radoszyce </t>
  </si>
  <si>
    <t>zadania z zakresu kultury fizycznej</t>
  </si>
  <si>
    <t>4. Wydatki poniesione na dodatek wiejski i ekwiwalenty zgodnie z BHP -§ 3020</t>
  </si>
  <si>
    <t>80113 i 75085</t>
  </si>
  <si>
    <t>Dotacje  celowe  dla organizacji pożytku publicznego 2360</t>
  </si>
  <si>
    <t>1. CUW Radoszyce</t>
  </si>
  <si>
    <t>§ 4710</t>
  </si>
  <si>
    <t>7. CUW Radoszyce</t>
  </si>
  <si>
    <t xml:space="preserve">Jednostka </t>
  </si>
  <si>
    <t>4. SP Radoszyce</t>
  </si>
  <si>
    <t>5. Samorządowe Przedszkole</t>
  </si>
  <si>
    <t xml:space="preserve">6. SP Wilczkowice </t>
  </si>
  <si>
    <t xml:space="preserve">Razem </t>
  </si>
  <si>
    <t>III . Informacje pozostałe:</t>
  </si>
  <si>
    <t>1. SP Kapałów</t>
  </si>
  <si>
    <t>Wydatki na zakup materiałów i wyposażenia (§4210)- głównie opał,</t>
  </si>
  <si>
    <t xml:space="preserve">Zestawienie jednorazowego dodatku uzupełniającego za rok 2021 </t>
  </si>
  <si>
    <t>JDU brutto - 4790</t>
  </si>
  <si>
    <t>Składki społeczne płacone przez zakład pracy -4110</t>
  </si>
  <si>
    <t>Składki na Fundusz Pracy- 4120</t>
  </si>
  <si>
    <t>PPK płacone przez zakład pracy -4710</t>
  </si>
  <si>
    <t xml:space="preserve">2. SP Radoszyce </t>
  </si>
  <si>
    <t>wypłacony w 2022</t>
  </si>
  <si>
    <t xml:space="preserve">wczesne wspomaganie rozwoju dziecka </t>
  </si>
  <si>
    <t>dotacja "Poznaj Polskę"</t>
  </si>
  <si>
    <t xml:space="preserve">Na dochody składają się : wpływy z usług §  0830 ( dożywianie, opłaty CO), najem §  0750 ( automaty w szkołach, </t>
  </si>
  <si>
    <t xml:space="preserve">wynajem sal pod działalności), wpływy z pozostałych odsetek §  0920 ( odsetki bankowe),   wpływy z opłat za </t>
  </si>
  <si>
    <t xml:space="preserve"> korzystanie z wychowania przedszkolengo § 0660, wpływy z opłat za korzystanie z wyżywiania w jednostkach  </t>
  </si>
  <si>
    <t xml:space="preserve">realizujących zadania z zakresu wychowania przedszkolnego § 0670,  wpływy ze sprzedaży składników </t>
  </si>
  <si>
    <t xml:space="preserve">majątkowych § 0870, wpływy z opłat za duplikaty świadectw § 0610, wpływy z darowizn w postaci </t>
  </si>
  <si>
    <t>dotacje udzielone organizacjom pożytku publicznego</t>
  </si>
  <si>
    <t>funkcjonujących  na terenie gminy Radoszyce za 2022 rok</t>
  </si>
  <si>
    <t xml:space="preserve">W 2022 roku Centrum Usług Wspólnych w  Radoszycach prowadziło obsługę finansowo-księgową </t>
  </si>
  <si>
    <t>I . Wydatki jednostek za 2022r w poszczególnych rozdziałach przedstawiają się następująco:</t>
  </si>
  <si>
    <t>w poszczególnych jednostkach -§4010, §4040, §4110, §4120 §4790, §4800</t>
  </si>
  <si>
    <t>1. Samorządowe Przedszkole</t>
  </si>
  <si>
    <t>4. SP Wilczkowice</t>
  </si>
  <si>
    <t>wydatki z Funduszu Pomocy</t>
  </si>
  <si>
    <t>wydatki na Ukrainę z Funduszu Pomocy</t>
  </si>
  <si>
    <t>2. SP Wilczkowice</t>
  </si>
  <si>
    <t xml:space="preserve">2 piece CO </t>
  </si>
  <si>
    <t>1 piec CO</t>
  </si>
  <si>
    <t>Wydatki  inwestycyjne 6060</t>
  </si>
  <si>
    <t>80101,80103.80148</t>
  </si>
  <si>
    <t>5. Wydatki poniesione na remonty- § 4270</t>
  </si>
  <si>
    <t>6. Wydatki poniesione na delegacje służbowe -§ 4410</t>
  </si>
  <si>
    <t>7. Wydatki poniesione  na doskonalenia nauczycieli w szkołach i przedszkolu</t>
  </si>
  <si>
    <t xml:space="preserve">8. Wydatki poniesione  na zakup materiałów, wyposażenia, pomoce dydaktyczne, </t>
  </si>
  <si>
    <t>9. Wydatki poniesione  na zakup usług i różne opłaty -§4300, §4360, §4280, §4520,  §4430, §4480, §4500</t>
  </si>
  <si>
    <t>10. Wydatki poniesione  na odpis na zakładowy fundusz świadczeń socjalnych, przekazane</t>
  </si>
  <si>
    <t>11. Wydatki inwestycyjne § 6060</t>
  </si>
  <si>
    <t xml:space="preserve">12. Dotacje udzielane organizacjom pożytku publicznego </t>
  </si>
  <si>
    <t>13. Wydatki poniesione  na PPK- pracownicze plany kapitałowe</t>
  </si>
  <si>
    <t>14. Wydatki na Ukrainę § 4350, § 4750 § 4850, § 4860</t>
  </si>
  <si>
    <t>80101,80107,80148,80150</t>
  </si>
  <si>
    <t>II . Dochody jednostek za 2022r  przedstawiają się następująco:</t>
  </si>
  <si>
    <t>Plan na 2022</t>
  </si>
  <si>
    <t>Wykonanie w 2022</t>
  </si>
  <si>
    <r>
      <t xml:space="preserve">Ogółem wydatki na oświatę w 2022r. wyniosły: </t>
    </r>
    <r>
      <rPr>
        <b/>
        <sz val="12"/>
        <color indexed="8"/>
        <rFont val="Arial Narrow"/>
        <family val="2"/>
      </rPr>
      <t>17 125 163,91 zł.</t>
    </r>
  </si>
  <si>
    <r>
      <t xml:space="preserve">Subwencja oświatowa podstawowa na 1 ucznia  w 2022 roku wynosiła </t>
    </r>
    <r>
      <rPr>
        <b/>
        <sz val="12"/>
        <color indexed="8"/>
        <rFont val="Arial Narrow"/>
        <family val="2"/>
      </rPr>
      <t>6766,06 zł.</t>
    </r>
  </si>
  <si>
    <r>
      <t xml:space="preserve">Wysokość odpisu na zakładowy fundusz świadczeń socjalnych w </t>
    </r>
    <r>
      <rPr>
        <b/>
        <sz val="12"/>
        <color indexed="8"/>
        <rFont val="Arial Narrow"/>
        <family val="2"/>
      </rPr>
      <t>2022 roku</t>
    </r>
    <r>
      <rPr>
        <sz val="12"/>
        <color indexed="8"/>
        <rFont val="Arial Narrow"/>
        <family val="2"/>
      </rPr>
      <t xml:space="preserve"> wynosił:</t>
    </r>
  </si>
  <si>
    <r>
      <t xml:space="preserve">dla jednego nauczyciela - </t>
    </r>
    <r>
      <rPr>
        <b/>
        <sz val="12"/>
        <color indexed="8"/>
        <rFont val="Arial Narrow"/>
        <family val="2"/>
      </rPr>
      <t>3349,73 zł.</t>
    </r>
  </si>
  <si>
    <r>
      <t>dla jednego zatrudnionego pracownika obsługi i administracji -</t>
    </r>
    <r>
      <rPr>
        <b/>
        <sz val="12"/>
        <color indexed="8"/>
        <rFont val="Arial Narrow"/>
        <family val="2"/>
      </rPr>
      <t xml:space="preserve"> 1662,97 zł.</t>
    </r>
  </si>
  <si>
    <r>
      <t xml:space="preserve">dla jednego emeryta obsługowego -  </t>
    </r>
    <r>
      <rPr>
        <b/>
        <sz val="12"/>
        <color indexed="8"/>
        <rFont val="Arial Narrow"/>
        <family val="2"/>
      </rPr>
      <t xml:space="preserve"> 277,16 zł.</t>
    </r>
  </si>
  <si>
    <r>
      <t xml:space="preserve">1. Na wyposażenie szkół podstawowych w podręczniki i materiały ćwiczeniowe w kwocie </t>
    </r>
    <r>
      <rPr>
        <b/>
        <sz val="12"/>
        <color indexed="8"/>
        <rFont val="Arial Narrow"/>
        <family val="2"/>
      </rPr>
      <t xml:space="preserve"> 52 352,58 zł.</t>
    </r>
  </si>
  <si>
    <r>
      <t>2. Na realizację zadań w zakresie wychowania przedszkolnego w kwocie</t>
    </r>
    <r>
      <rPr>
        <b/>
        <sz val="12"/>
        <color indexed="8"/>
        <rFont val="Arial Narrow"/>
        <family val="2"/>
      </rPr>
      <t xml:space="preserve"> 259 544,05 zł</t>
    </r>
    <r>
      <rPr>
        <sz val="12"/>
        <color indexed="8"/>
        <rFont val="Arial Narrow"/>
        <family val="2"/>
      </rPr>
      <t>.</t>
    </r>
  </si>
  <si>
    <r>
      <t xml:space="preserve">4. Narodowy Program Rozwoju Czytelnictwa - </t>
    </r>
    <r>
      <rPr>
        <b/>
        <sz val="12"/>
        <color indexed="8"/>
        <rFont val="Arial Narrow"/>
        <family val="2"/>
      </rPr>
      <t>13 500,00 zł</t>
    </r>
  </si>
  <si>
    <t>1. Zestawienie źródeł finansowania w jednostkach oświatowych i CUW w 2022r.</t>
  </si>
  <si>
    <r>
      <t xml:space="preserve">Otrzymana subwencja oświatowa na 2022r wyniosła: </t>
    </r>
    <r>
      <rPr>
        <b/>
        <sz val="12"/>
        <color indexed="8"/>
        <rFont val="Arial Narrow"/>
        <family val="2"/>
      </rPr>
      <t>9 097 226,00 zł.</t>
    </r>
  </si>
  <si>
    <t>05.12.2023</t>
  </si>
  <si>
    <t>Zestawienie źródeł finansowania w jednostkach oświatowych i CUW w  2022</t>
  </si>
  <si>
    <t>Środki na Ukrainę</t>
  </si>
  <si>
    <t>Narodowy Program Rozwoju Czytelnictwa</t>
  </si>
  <si>
    <t>Wydatki na środki dydaktyczne i książki  w tym dotacje podręcznikowe i pomoce dla dzieci niepełnosp. (§4240)</t>
  </si>
  <si>
    <t xml:space="preserve">pieniężnej § 0960. W związku z niezrealizowanymi dochodami głównie z dożywiania, </t>
  </si>
  <si>
    <t>związane z wypłatą odpraw dla nauczycieli art. 20 KN -SP Wilczkowice, SP Górniki.</t>
  </si>
  <si>
    <r>
      <t xml:space="preserve">Jednorazowy dodatek uzupełniający dla nauczycieli, wypłacony w 2022r wynosił </t>
    </r>
    <r>
      <rPr>
        <b/>
        <sz val="12"/>
        <color indexed="8"/>
        <rFont val="Arial Narrow"/>
        <family val="2"/>
      </rPr>
      <t>376 825,06 zł</t>
    </r>
  </si>
  <si>
    <r>
      <t xml:space="preserve">Otrzymano też środki z Funduszu Pomocy dla uczniów będących obywatelami Ukrainy w kwocie  </t>
    </r>
    <r>
      <rPr>
        <b/>
        <sz val="12"/>
        <color indexed="8"/>
        <rFont val="Arial Narrow"/>
        <family val="2"/>
      </rPr>
      <t>82 564,00 zł .</t>
    </r>
  </si>
  <si>
    <r>
      <t xml:space="preserve">3. Na realizację zadania w ramach przedsięwzięcia MEiN "Poznaj Polskę" - </t>
    </r>
    <r>
      <rPr>
        <b/>
        <sz val="12"/>
        <color indexed="8"/>
        <rFont val="Arial Narrow"/>
        <family val="2"/>
      </rPr>
      <t>23 408,00 zł</t>
    </r>
  </si>
  <si>
    <t>( całkowity koszt  przedsięwzięcia "Poznaj Polskę" to 34 583,00 zł, w tym wkład własny 11 175,00 zł)</t>
  </si>
  <si>
    <t>z wykonania budżetu tj.  Rb-28S i Rb-27S oraz z ksiąg rachunkowych.</t>
  </si>
  <si>
    <t>2. JDU wypłacony nauczycielom w 2022r.</t>
  </si>
  <si>
    <t xml:space="preserve">(w tym rezerwa 0,4 % 58 169,00 zł :  w tym 3 672,00 zł to subwencja na  zwiększenie  wzrostu zadań </t>
  </si>
  <si>
    <t xml:space="preserve">szkolnych  i pozaszkolnych - Samorządowe Przedszkole w Radoszycach oraz kwota 54 497,00 zł to środki </t>
  </si>
  <si>
    <r>
      <t xml:space="preserve">Otrzymane środki z budżetu gminy w 2022r. wyniosły </t>
    </r>
    <r>
      <rPr>
        <b/>
        <sz val="12"/>
        <color indexed="8"/>
        <rFont val="Arial Narrow"/>
        <family val="2"/>
      </rPr>
      <t>7 596 569,28 zł</t>
    </r>
    <r>
      <rPr>
        <sz val="12"/>
        <color indexed="8"/>
        <rFont val="Arial Narrow"/>
        <family val="2"/>
      </rPr>
      <t>., co stanowiło 44,36 % wszystkich wydatków.</t>
    </r>
  </si>
  <si>
    <t>łączą się niezrealizowane wydatki w zakresie wyżywienia.</t>
  </si>
  <si>
    <t>CUW.070.32.2023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</si>
</sst>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Calibri"/>
      <family val="2"/>
    </font>
    <font>
      <b/>
      <u val="single"/>
      <sz val="12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Calibri"/>
      <family val="2"/>
    </font>
    <font>
      <sz val="10"/>
      <color indexed="10"/>
      <name val="Arial Narrow"/>
      <family val="2"/>
    </font>
    <font>
      <sz val="10"/>
      <color indexed="10"/>
      <name val="Calibri"/>
      <family val="2"/>
    </font>
    <font>
      <b/>
      <sz val="9"/>
      <color indexed="8"/>
      <name val="Arial Narrow"/>
      <family val="2"/>
    </font>
    <font>
      <sz val="14"/>
      <color indexed="8"/>
      <name val="Arial Narrow"/>
      <family val="2"/>
    </font>
    <font>
      <b/>
      <sz val="12"/>
      <name val="Arial Narrow"/>
      <family val="2"/>
    </font>
    <font>
      <sz val="12"/>
      <name val="Calibri"/>
      <family val="2"/>
    </font>
    <font>
      <sz val="12"/>
      <name val="Arial Narrow"/>
      <family val="2"/>
    </font>
    <font>
      <sz val="11"/>
      <name val="Calibri"/>
      <family val="2"/>
    </font>
    <font>
      <b/>
      <sz val="8"/>
      <color indexed="8"/>
      <name val="Arial Narrow"/>
      <family val="2"/>
    </font>
    <font>
      <b/>
      <sz val="10"/>
      <name val="Arial Narrow"/>
      <family val="2"/>
    </font>
    <font>
      <b/>
      <i/>
      <sz val="9"/>
      <color indexed="8"/>
      <name val="Arial Narrow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u val="single"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12"/>
      <color theme="1"/>
      <name val="Calibri"/>
      <family val="2"/>
    </font>
    <font>
      <sz val="14"/>
      <color theme="1"/>
      <name val="Arial Narrow"/>
      <family val="2"/>
    </font>
    <font>
      <sz val="10"/>
      <color theme="1"/>
      <name val="Arial Narrow"/>
      <family val="2"/>
    </font>
    <font>
      <b/>
      <i/>
      <sz val="9"/>
      <color theme="1"/>
      <name val="Arial Narrow"/>
      <family val="2"/>
    </font>
    <font>
      <sz val="8"/>
      <color theme="1"/>
      <name val="Calibri"/>
      <family val="2"/>
    </font>
    <font>
      <sz val="9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10"/>
      <color rgb="FFFF0000"/>
      <name val="Arial Narrow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 wrapText="1"/>
    </xf>
    <xf numFmtId="164" fontId="61" fillId="0" borderId="10" xfId="0" applyNumberFormat="1" applyFont="1" applyBorder="1" applyAlignment="1">
      <alignment/>
    </xf>
    <xf numFmtId="0" fontId="62" fillId="0" borderId="0" xfId="0" applyFont="1" applyAlignment="1">
      <alignment/>
    </xf>
    <xf numFmtId="164" fontId="63" fillId="0" borderId="10" xfId="0" applyNumberFormat="1" applyFont="1" applyBorder="1" applyAlignment="1">
      <alignment/>
    </xf>
    <xf numFmtId="0" fontId="59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59" fillId="33" borderId="10" xfId="0" applyFont="1" applyFill="1" applyBorder="1" applyAlignment="1">
      <alignment/>
    </xf>
    <xf numFmtId="164" fontId="59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0" fontId="60" fillId="33" borderId="10" xfId="0" applyFont="1" applyFill="1" applyBorder="1" applyAlignment="1">
      <alignment horizontal="center"/>
    </xf>
    <xf numFmtId="0" fontId="60" fillId="33" borderId="10" xfId="0" applyFont="1" applyFill="1" applyBorder="1" applyAlignment="1">
      <alignment/>
    </xf>
    <xf numFmtId="164" fontId="59" fillId="33" borderId="10" xfId="0" applyNumberFormat="1" applyFont="1" applyFill="1" applyBorder="1" applyAlignment="1">
      <alignment/>
    </xf>
    <xf numFmtId="164" fontId="60" fillId="33" borderId="10" xfId="0" applyNumberFormat="1" applyFont="1" applyFill="1" applyBorder="1" applyAlignment="1">
      <alignment/>
    </xf>
    <xf numFmtId="164" fontId="60" fillId="33" borderId="0" xfId="0" applyNumberFormat="1" applyFont="1" applyFill="1" applyAlignment="1">
      <alignment/>
    </xf>
    <xf numFmtId="0" fontId="65" fillId="33" borderId="10" xfId="0" applyFont="1" applyFill="1" applyBorder="1" applyAlignment="1">
      <alignment/>
    </xf>
    <xf numFmtId="0" fontId="65" fillId="33" borderId="10" xfId="0" applyFont="1" applyFill="1" applyBorder="1" applyAlignment="1">
      <alignment wrapText="1"/>
    </xf>
    <xf numFmtId="0" fontId="65" fillId="33" borderId="10" xfId="0" applyFont="1" applyFill="1" applyBorder="1" applyAlignment="1">
      <alignment horizontal="left"/>
    </xf>
    <xf numFmtId="0" fontId="65" fillId="33" borderId="10" xfId="0" applyFont="1" applyFill="1" applyBorder="1" applyAlignment="1">
      <alignment horizontal="left" wrapText="1"/>
    </xf>
    <xf numFmtId="0" fontId="63" fillId="33" borderId="0" xfId="0" applyFont="1" applyFill="1" applyAlignment="1">
      <alignment/>
    </xf>
    <xf numFmtId="0" fontId="65" fillId="33" borderId="0" xfId="0" applyFont="1" applyFill="1" applyAlignment="1">
      <alignment wrapText="1"/>
    </xf>
    <xf numFmtId="2" fontId="59" fillId="33" borderId="0" xfId="0" applyNumberFormat="1" applyFont="1" applyFill="1" applyAlignment="1">
      <alignment/>
    </xf>
    <xf numFmtId="2" fontId="60" fillId="33" borderId="0" xfId="0" applyNumberFormat="1" applyFont="1" applyFill="1" applyAlignment="1">
      <alignment/>
    </xf>
    <xf numFmtId="0" fontId="61" fillId="33" borderId="0" xfId="0" applyFont="1" applyFill="1" applyAlignment="1">
      <alignment/>
    </xf>
    <xf numFmtId="164" fontId="61" fillId="33" borderId="0" xfId="0" applyNumberFormat="1" applyFont="1" applyFill="1" applyAlignment="1">
      <alignment/>
    </xf>
    <xf numFmtId="164" fontId="66" fillId="33" borderId="10" xfId="0" applyNumberFormat="1" applyFont="1" applyFill="1" applyBorder="1" applyAlignment="1">
      <alignment/>
    </xf>
    <xf numFmtId="164" fontId="60" fillId="33" borderId="0" xfId="0" applyNumberFormat="1" applyFont="1" applyFill="1" applyAlignment="1">
      <alignment wrapText="1"/>
    </xf>
    <xf numFmtId="164" fontId="67" fillId="33" borderId="0" xfId="0" applyNumberFormat="1" applyFont="1" applyFill="1" applyAlignment="1">
      <alignment wrapText="1"/>
    </xf>
    <xf numFmtId="0" fontId="68" fillId="33" borderId="0" xfId="0" applyFont="1" applyFill="1" applyAlignment="1">
      <alignment/>
    </xf>
    <xf numFmtId="0" fontId="60" fillId="33" borderId="11" xfId="0" applyFont="1" applyFill="1" applyBorder="1" applyAlignment="1">
      <alignment horizontal="center"/>
    </xf>
    <xf numFmtId="0" fontId="59" fillId="33" borderId="11" xfId="0" applyFont="1" applyFill="1" applyBorder="1" applyAlignment="1">
      <alignment/>
    </xf>
    <xf numFmtId="0" fontId="59" fillId="33" borderId="12" xfId="0" applyFont="1" applyFill="1" applyBorder="1" applyAlignment="1">
      <alignment/>
    </xf>
    <xf numFmtId="0" fontId="59" fillId="33" borderId="13" xfId="0" applyFont="1" applyFill="1" applyBorder="1" applyAlignment="1">
      <alignment/>
    </xf>
    <xf numFmtId="0" fontId="60" fillId="33" borderId="14" xfId="0" applyFont="1" applyFill="1" applyBorder="1" applyAlignment="1">
      <alignment horizontal="center"/>
    </xf>
    <xf numFmtId="0" fontId="59" fillId="33" borderId="15" xfId="0" applyFont="1" applyFill="1" applyBorder="1" applyAlignment="1">
      <alignment horizontal="center"/>
    </xf>
    <xf numFmtId="0" fontId="18" fillId="33" borderId="10" xfId="0" applyFont="1" applyFill="1" applyBorder="1" applyAlignment="1">
      <alignment/>
    </xf>
    <xf numFmtId="0" fontId="20" fillId="33" borderId="0" xfId="0" applyFont="1" applyFill="1" applyAlignment="1">
      <alignment/>
    </xf>
    <xf numFmtId="0" fontId="20" fillId="33" borderId="10" xfId="0" applyFont="1" applyFill="1" applyBorder="1" applyAlignment="1">
      <alignment/>
    </xf>
    <xf numFmtId="2" fontId="2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64" fontId="18" fillId="33" borderId="10" xfId="0" applyNumberFormat="1" applyFont="1" applyFill="1" applyBorder="1" applyAlignment="1">
      <alignment wrapText="1"/>
    </xf>
    <xf numFmtId="4" fontId="18" fillId="33" borderId="10" xfId="0" applyNumberFormat="1" applyFont="1" applyFill="1" applyBorder="1" applyAlignment="1">
      <alignment wrapText="1"/>
    </xf>
    <xf numFmtId="0" fontId="63" fillId="33" borderId="11" xfId="0" applyFont="1" applyFill="1" applyBorder="1" applyAlignment="1">
      <alignment horizontal="center"/>
    </xf>
    <xf numFmtId="0" fontId="63" fillId="33" borderId="10" xfId="0" applyFont="1" applyFill="1" applyBorder="1" applyAlignment="1">
      <alignment horizontal="center"/>
    </xf>
    <xf numFmtId="164" fontId="69" fillId="33" borderId="10" xfId="0" applyNumberFormat="1" applyFont="1" applyFill="1" applyBorder="1" applyAlignment="1">
      <alignment wrapText="1"/>
    </xf>
    <xf numFmtId="0" fontId="23" fillId="33" borderId="10" xfId="0" applyFont="1" applyFill="1" applyBorder="1" applyAlignment="1">
      <alignment/>
    </xf>
    <xf numFmtId="0" fontId="70" fillId="33" borderId="0" xfId="0" applyFont="1" applyFill="1" applyAlignment="1">
      <alignment/>
    </xf>
    <xf numFmtId="0" fontId="60" fillId="33" borderId="11" xfId="0" applyFont="1" applyFill="1" applyBorder="1" applyAlignment="1">
      <alignment/>
    </xf>
    <xf numFmtId="164" fontId="59" fillId="33" borderId="16" xfId="0" applyNumberFormat="1" applyFont="1" applyFill="1" applyBorder="1" applyAlignment="1">
      <alignment horizontal="right"/>
    </xf>
    <xf numFmtId="164" fontId="71" fillId="33" borderId="0" xfId="0" applyNumberFormat="1" applyFont="1" applyFill="1" applyAlignment="1">
      <alignment/>
    </xf>
    <xf numFmtId="0" fontId="60" fillId="33" borderId="17" xfId="0" applyFont="1" applyFill="1" applyBorder="1" applyAlignment="1">
      <alignment horizontal="center"/>
    </xf>
    <xf numFmtId="0" fontId="60" fillId="33" borderId="18" xfId="0" applyFont="1" applyFill="1" applyBorder="1" applyAlignment="1">
      <alignment horizontal="center"/>
    </xf>
    <xf numFmtId="0" fontId="60" fillId="33" borderId="19" xfId="0" applyFont="1" applyFill="1" applyBorder="1" applyAlignment="1">
      <alignment horizontal="center"/>
    </xf>
    <xf numFmtId="0" fontId="60" fillId="33" borderId="20" xfId="0" applyFont="1" applyFill="1" applyBorder="1" applyAlignment="1">
      <alignment horizontal="center"/>
    </xf>
    <xf numFmtId="0" fontId="59" fillId="33" borderId="21" xfId="0" applyFont="1" applyFill="1" applyBorder="1" applyAlignment="1">
      <alignment/>
    </xf>
    <xf numFmtId="164" fontId="59" fillId="33" borderId="21" xfId="0" applyNumberFormat="1" applyFont="1" applyFill="1" applyBorder="1" applyAlignment="1">
      <alignment horizontal="right"/>
    </xf>
    <xf numFmtId="164" fontId="59" fillId="33" borderId="22" xfId="0" applyNumberFormat="1" applyFont="1" applyFill="1" applyBorder="1" applyAlignment="1">
      <alignment horizontal="right"/>
    </xf>
    <xf numFmtId="2" fontId="59" fillId="33" borderId="23" xfId="0" applyNumberFormat="1" applyFont="1" applyFill="1" applyBorder="1" applyAlignment="1">
      <alignment/>
    </xf>
    <xf numFmtId="164" fontId="59" fillId="33" borderId="10" xfId="0" applyNumberFormat="1" applyFont="1" applyFill="1" applyBorder="1" applyAlignment="1">
      <alignment horizontal="right"/>
    </xf>
    <xf numFmtId="2" fontId="59" fillId="33" borderId="24" xfId="0" applyNumberFormat="1" applyFont="1" applyFill="1" applyBorder="1" applyAlignment="1">
      <alignment/>
    </xf>
    <xf numFmtId="164" fontId="59" fillId="33" borderId="11" xfId="0" applyNumberFormat="1" applyFont="1" applyFill="1" applyBorder="1" applyAlignment="1">
      <alignment horizontal="right"/>
    </xf>
    <xf numFmtId="2" fontId="59" fillId="33" borderId="11" xfId="0" applyNumberFormat="1" applyFont="1" applyFill="1" applyBorder="1" applyAlignment="1">
      <alignment/>
    </xf>
    <xf numFmtId="164" fontId="60" fillId="33" borderId="18" xfId="0" applyNumberFormat="1" applyFont="1" applyFill="1" applyBorder="1" applyAlignment="1">
      <alignment horizontal="right"/>
    </xf>
    <xf numFmtId="4" fontId="60" fillId="33" borderId="20" xfId="0" applyNumberFormat="1" applyFont="1" applyFill="1" applyBorder="1" applyAlignment="1">
      <alignment horizontal="right"/>
    </xf>
    <xf numFmtId="0" fontId="59" fillId="33" borderId="25" xfId="0" applyFont="1" applyFill="1" applyBorder="1" applyAlignment="1">
      <alignment/>
    </xf>
    <xf numFmtId="0" fontId="59" fillId="33" borderId="26" xfId="0" applyFont="1" applyFill="1" applyBorder="1" applyAlignment="1">
      <alignment/>
    </xf>
    <xf numFmtId="0" fontId="59" fillId="33" borderId="27" xfId="0" applyFont="1" applyFill="1" applyBorder="1" applyAlignment="1">
      <alignment/>
    </xf>
    <xf numFmtId="164" fontId="59" fillId="33" borderId="27" xfId="0" applyNumberFormat="1" applyFont="1" applyFill="1" applyBorder="1" applyAlignment="1">
      <alignment horizontal="right"/>
    </xf>
    <xf numFmtId="2" fontId="59" fillId="33" borderId="28" xfId="0" applyNumberFormat="1" applyFont="1" applyFill="1" applyBorder="1" applyAlignment="1">
      <alignment/>
    </xf>
    <xf numFmtId="2" fontId="59" fillId="33" borderId="29" xfId="0" applyNumberFormat="1" applyFont="1" applyFill="1" applyBorder="1" applyAlignment="1">
      <alignment/>
    </xf>
    <xf numFmtId="164" fontId="59" fillId="33" borderId="30" xfId="0" applyNumberFormat="1" applyFont="1" applyFill="1" applyBorder="1" applyAlignment="1">
      <alignment horizontal="right"/>
    </xf>
    <xf numFmtId="164" fontId="59" fillId="33" borderId="31" xfId="0" applyNumberFormat="1" applyFont="1" applyFill="1" applyBorder="1" applyAlignment="1">
      <alignment horizontal="right"/>
    </xf>
    <xf numFmtId="2" fontId="59" fillId="33" borderId="32" xfId="0" applyNumberFormat="1" applyFont="1" applyFill="1" applyBorder="1" applyAlignment="1">
      <alignment/>
    </xf>
    <xf numFmtId="2" fontId="59" fillId="33" borderId="10" xfId="0" applyNumberFormat="1" applyFont="1" applyFill="1" applyBorder="1" applyAlignment="1">
      <alignment/>
    </xf>
    <xf numFmtId="164" fontId="60" fillId="33" borderId="18" xfId="0" applyNumberFormat="1" applyFont="1" applyFill="1" applyBorder="1" applyAlignment="1">
      <alignment/>
    </xf>
    <xf numFmtId="0" fontId="60" fillId="33" borderId="10" xfId="0" applyFont="1" applyFill="1" applyBorder="1" applyAlignment="1">
      <alignment wrapText="1"/>
    </xf>
    <xf numFmtId="0" fontId="60" fillId="33" borderId="21" xfId="0" applyFont="1" applyFill="1" applyBorder="1" applyAlignment="1">
      <alignment wrapText="1"/>
    </xf>
    <xf numFmtId="0" fontId="72" fillId="33" borderId="10" xfId="0" applyFont="1" applyFill="1" applyBorder="1" applyAlignment="1">
      <alignment/>
    </xf>
    <xf numFmtId="0" fontId="59" fillId="33" borderId="10" xfId="0" applyFont="1" applyFill="1" applyBorder="1" applyAlignment="1">
      <alignment wrapText="1"/>
    </xf>
    <xf numFmtId="0" fontId="69" fillId="33" borderId="10" xfId="0" applyFont="1" applyFill="1" applyBorder="1" applyAlignment="1">
      <alignment/>
    </xf>
    <xf numFmtId="3" fontId="72" fillId="33" borderId="10" xfId="0" applyNumberFormat="1" applyFont="1" applyFill="1" applyBorder="1" applyAlignment="1">
      <alignment/>
    </xf>
    <xf numFmtId="0" fontId="61" fillId="33" borderId="21" xfId="0" applyFont="1" applyFill="1" applyBorder="1" applyAlignment="1">
      <alignment/>
    </xf>
    <xf numFmtId="0" fontId="20" fillId="33" borderId="21" xfId="0" applyFont="1" applyFill="1" applyBorder="1" applyAlignment="1">
      <alignment/>
    </xf>
    <xf numFmtId="164" fontId="20" fillId="33" borderId="10" xfId="0" applyNumberFormat="1" applyFont="1" applyFill="1" applyBorder="1" applyAlignment="1">
      <alignment/>
    </xf>
    <xf numFmtId="164" fontId="18" fillId="33" borderId="10" xfId="0" applyNumberFormat="1" applyFont="1" applyFill="1" applyBorder="1" applyAlignment="1">
      <alignment/>
    </xf>
    <xf numFmtId="0" fontId="73" fillId="33" borderId="10" xfId="0" applyFont="1" applyFill="1" applyBorder="1" applyAlignment="1">
      <alignment horizontal="left" wrapText="1"/>
    </xf>
    <xf numFmtId="0" fontId="74" fillId="33" borderId="10" xfId="0" applyFont="1" applyFill="1" applyBorder="1" applyAlignment="1">
      <alignment wrapText="1"/>
    </xf>
    <xf numFmtId="0" fontId="63" fillId="0" borderId="10" xfId="0" applyFont="1" applyBorder="1" applyAlignment="1">
      <alignment wrapText="1"/>
    </xf>
    <xf numFmtId="164" fontId="65" fillId="33" borderId="10" xfId="0" applyNumberFormat="1" applyFont="1" applyFill="1" applyBorder="1" applyAlignment="1">
      <alignment/>
    </xf>
    <xf numFmtId="0" fontId="18" fillId="33" borderId="0" xfId="0" applyFont="1" applyFill="1" applyAlignment="1">
      <alignment/>
    </xf>
    <xf numFmtId="164" fontId="18" fillId="33" borderId="0" xfId="0" applyNumberFormat="1" applyFont="1" applyFill="1" applyAlignment="1">
      <alignment wrapText="1"/>
    </xf>
    <xf numFmtId="0" fontId="21" fillId="33" borderId="0" xfId="0" applyFont="1" applyFill="1" applyAlignment="1">
      <alignment wrapText="1"/>
    </xf>
    <xf numFmtId="4" fontId="18" fillId="33" borderId="0" xfId="0" applyNumberFormat="1" applyFont="1" applyFill="1" applyAlignment="1">
      <alignment wrapText="1"/>
    </xf>
    <xf numFmtId="0" fontId="60" fillId="33" borderId="33" xfId="0" applyFont="1" applyFill="1" applyBorder="1" applyAlignment="1">
      <alignment/>
    </xf>
    <xf numFmtId="0" fontId="60" fillId="33" borderId="34" xfId="0" applyFont="1" applyFill="1" applyBorder="1" applyAlignment="1">
      <alignment/>
    </xf>
    <xf numFmtId="0" fontId="0" fillId="33" borderId="34" xfId="0" applyFill="1" applyBorder="1" applyAlignment="1">
      <alignment/>
    </xf>
    <xf numFmtId="0" fontId="60" fillId="33" borderId="35" xfId="0" applyFont="1" applyFill="1" applyBorder="1" applyAlignment="1">
      <alignment/>
    </xf>
    <xf numFmtId="0" fontId="60" fillId="33" borderId="36" xfId="0" applyFont="1" applyFill="1" applyBorder="1" applyAlignment="1">
      <alignment/>
    </xf>
    <xf numFmtId="0" fontId="60" fillId="33" borderId="37" xfId="0" applyFont="1" applyFill="1" applyBorder="1" applyAlignment="1">
      <alignment/>
    </xf>
    <xf numFmtId="0" fontId="60" fillId="33" borderId="38" xfId="0" applyFont="1" applyFill="1" applyBorder="1" applyAlignment="1">
      <alignment/>
    </xf>
    <xf numFmtId="0" fontId="0" fillId="33" borderId="38" xfId="0" applyFill="1" applyBorder="1" applyAlignment="1">
      <alignment/>
    </xf>
    <xf numFmtId="0" fontId="60" fillId="33" borderId="16" xfId="0" applyFont="1" applyFill="1" applyBorder="1" applyAlignment="1">
      <alignment wrapText="1"/>
    </xf>
    <xf numFmtId="0" fontId="67" fillId="33" borderId="12" xfId="0" applyFont="1" applyFill="1" applyBorder="1" applyAlignment="1">
      <alignment wrapText="1"/>
    </xf>
    <xf numFmtId="164" fontId="59" fillId="33" borderId="16" xfId="0" applyNumberFormat="1" applyFont="1" applyFill="1" applyBorder="1" applyAlignment="1">
      <alignment wrapText="1"/>
    </xf>
    <xf numFmtId="164" fontId="67" fillId="33" borderId="12" xfId="0" applyNumberFormat="1" applyFont="1" applyFill="1" applyBorder="1" applyAlignment="1">
      <alignment wrapText="1"/>
    </xf>
    <xf numFmtId="0" fontId="60" fillId="33" borderId="11" xfId="0" applyFont="1" applyFill="1" applyBorder="1" applyAlignment="1">
      <alignment/>
    </xf>
    <xf numFmtId="0" fontId="0" fillId="33" borderId="30" xfId="0" applyFill="1" applyBorder="1" applyAlignment="1">
      <alignment/>
    </xf>
    <xf numFmtId="0" fontId="60" fillId="33" borderId="16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60" fillId="33" borderId="3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59" fillId="33" borderId="11" xfId="0" applyFont="1" applyFill="1" applyBorder="1" applyAlignment="1">
      <alignment/>
    </xf>
    <xf numFmtId="0" fontId="60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164" fontId="60" fillId="33" borderId="19" xfId="0" applyNumberFormat="1" applyFont="1" applyFill="1" applyBorder="1" applyAlignment="1">
      <alignment horizontal="right"/>
    </xf>
    <xf numFmtId="0" fontId="54" fillId="33" borderId="15" xfId="0" applyFont="1" applyFill="1" applyBorder="1" applyAlignment="1">
      <alignment/>
    </xf>
    <xf numFmtId="0" fontId="54" fillId="33" borderId="39" xfId="0" applyFont="1" applyFill="1" applyBorder="1" applyAlignment="1">
      <alignment/>
    </xf>
    <xf numFmtId="164" fontId="59" fillId="33" borderId="16" xfId="0" applyNumberFormat="1" applyFont="1" applyFill="1" applyBorder="1" applyAlignment="1">
      <alignment horizontal="right"/>
    </xf>
    <xf numFmtId="164" fontId="59" fillId="33" borderId="40" xfId="0" applyNumberFormat="1" applyFont="1" applyFill="1" applyBorder="1" applyAlignment="1">
      <alignment horizontal="right"/>
    </xf>
    <xf numFmtId="164" fontId="59" fillId="33" borderId="12" xfId="0" applyNumberFormat="1" applyFont="1" applyFill="1" applyBorder="1" applyAlignment="1">
      <alignment horizontal="right"/>
    </xf>
    <xf numFmtId="164" fontId="6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60" fillId="33" borderId="11" xfId="0" applyFont="1" applyFill="1" applyBorder="1" applyAlignment="1">
      <alignment wrapText="1"/>
    </xf>
    <xf numFmtId="164" fontId="60" fillId="33" borderId="16" xfId="0" applyNumberFormat="1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63" fillId="33" borderId="16" xfId="0" applyFont="1" applyFill="1" applyBorder="1" applyAlignment="1">
      <alignment horizontal="center"/>
    </xf>
    <xf numFmtId="164" fontId="59" fillId="33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/>
    </xf>
    <xf numFmtId="164" fontId="60" fillId="33" borderId="11" xfId="0" applyNumberFormat="1" applyFont="1" applyFill="1" applyBorder="1" applyAlignment="1">
      <alignment horizontal="right"/>
    </xf>
    <xf numFmtId="0" fontId="54" fillId="33" borderId="11" xfId="0" applyFont="1" applyFill="1" applyBorder="1" applyAlignment="1">
      <alignment/>
    </xf>
    <xf numFmtId="0" fontId="0" fillId="33" borderId="15" xfId="0" applyFill="1" applyBorder="1" applyAlignment="1">
      <alignment horizontal="right"/>
    </xf>
    <xf numFmtId="0" fontId="0" fillId="33" borderId="39" xfId="0" applyFill="1" applyBorder="1" applyAlignment="1">
      <alignment horizontal="right"/>
    </xf>
    <xf numFmtId="0" fontId="60" fillId="33" borderId="14" xfId="0" applyFont="1" applyFill="1" applyBorder="1" applyAlignment="1">
      <alignment horizontal="center"/>
    </xf>
    <xf numFmtId="0" fontId="54" fillId="33" borderId="41" xfId="0" applyFont="1" applyFill="1" applyBorder="1" applyAlignment="1">
      <alignment horizontal="center"/>
    </xf>
    <xf numFmtId="0" fontId="60" fillId="33" borderId="40" xfId="0" applyFont="1" applyFill="1" applyBorder="1" applyAlignment="1">
      <alignment horizontal="center"/>
    </xf>
    <xf numFmtId="0" fontId="60" fillId="33" borderId="12" xfId="0" applyFont="1" applyFill="1" applyBorder="1" applyAlignment="1">
      <alignment horizontal="center"/>
    </xf>
    <xf numFmtId="0" fontId="63" fillId="33" borderId="40" xfId="0" applyFont="1" applyFill="1" applyBorder="1" applyAlignment="1">
      <alignment horizontal="center"/>
    </xf>
    <xf numFmtId="0" fontId="63" fillId="33" borderId="12" xfId="0" applyFont="1" applyFill="1" applyBorder="1" applyAlignment="1">
      <alignment horizontal="center"/>
    </xf>
    <xf numFmtId="164" fontId="59" fillId="33" borderId="42" xfId="0" applyNumberFormat="1" applyFont="1" applyFill="1" applyBorder="1" applyAlignment="1">
      <alignment horizontal="right"/>
    </xf>
    <xf numFmtId="164" fontId="59" fillId="33" borderId="43" xfId="0" applyNumberFormat="1" applyFont="1" applyFill="1" applyBorder="1" applyAlignment="1">
      <alignment horizontal="right"/>
    </xf>
    <xf numFmtId="164" fontId="59" fillId="33" borderId="26" xfId="0" applyNumberFormat="1" applyFont="1" applyFill="1" applyBorder="1" applyAlignment="1">
      <alignment horizontal="right"/>
    </xf>
    <xf numFmtId="164" fontId="74" fillId="33" borderId="0" xfId="0" applyNumberFormat="1" applyFont="1" applyFill="1" applyAlignment="1">
      <alignment/>
    </xf>
    <xf numFmtId="0" fontId="0" fillId="0" borderId="0" xfId="0" applyAlignment="1">
      <alignment/>
    </xf>
    <xf numFmtId="0" fontId="0" fillId="33" borderId="41" xfId="0" applyFill="1" applyBorder="1" applyAlignment="1">
      <alignment horizontal="center"/>
    </xf>
    <xf numFmtId="0" fontId="60" fillId="33" borderId="37" xfId="0" applyFont="1" applyFill="1" applyBorder="1" applyAlignment="1">
      <alignment horizontal="center"/>
    </xf>
    <xf numFmtId="0" fontId="54" fillId="33" borderId="44" xfId="0" applyFont="1" applyFill="1" applyBorder="1" applyAlignment="1">
      <alignment horizontal="center"/>
    </xf>
    <xf numFmtId="0" fontId="0" fillId="33" borderId="40" xfId="0" applyFill="1" applyBorder="1" applyAlignment="1">
      <alignment/>
    </xf>
    <xf numFmtId="0" fontId="60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41" xfId="0" applyFill="1" applyBorder="1" applyAlignment="1">
      <alignment horizontal="right"/>
    </xf>
    <xf numFmtId="164" fontId="20" fillId="33" borderId="10" xfId="0" applyNumberFormat="1" applyFont="1" applyFill="1" applyBorder="1" applyAlignment="1">
      <alignment wrapText="1"/>
    </xf>
    <xf numFmtId="164" fontId="19" fillId="33" borderId="10" xfId="0" applyNumberFormat="1" applyFont="1" applyFill="1" applyBorder="1" applyAlignment="1">
      <alignment wrapText="1"/>
    </xf>
    <xf numFmtId="164" fontId="18" fillId="33" borderId="16" xfId="0" applyNumberFormat="1" applyFont="1" applyFill="1" applyBorder="1" applyAlignment="1">
      <alignment wrapText="1"/>
    </xf>
    <xf numFmtId="0" fontId="21" fillId="33" borderId="12" xfId="0" applyFont="1" applyFill="1" applyBorder="1" applyAlignment="1">
      <alignment wrapText="1"/>
    </xf>
    <xf numFmtId="0" fontId="60" fillId="33" borderId="41" xfId="0" applyFont="1" applyFill="1" applyBorder="1" applyAlignment="1">
      <alignment horizontal="center"/>
    </xf>
    <xf numFmtId="0" fontId="60" fillId="33" borderId="10" xfId="0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60" fillId="33" borderId="0" xfId="0" applyFont="1" applyFill="1" applyAlignment="1">
      <alignment horizontal="center"/>
    </xf>
    <xf numFmtId="0" fontId="54" fillId="33" borderId="0" xfId="0" applyFont="1" applyFill="1" applyAlignment="1">
      <alignment horizontal="center"/>
    </xf>
    <xf numFmtId="0" fontId="75" fillId="33" borderId="0" xfId="0" applyFont="1" applyFill="1" applyAlignment="1">
      <alignment wrapText="1"/>
    </xf>
    <xf numFmtId="0" fontId="76" fillId="33" borderId="0" xfId="0" applyFont="1" applyFill="1" applyAlignment="1">
      <alignment wrapText="1"/>
    </xf>
    <xf numFmtId="164" fontId="77" fillId="33" borderId="12" xfId="0" applyNumberFormat="1" applyFont="1" applyFill="1" applyBorder="1" applyAlignment="1">
      <alignment wrapText="1"/>
    </xf>
    <xf numFmtId="164" fontId="0" fillId="33" borderId="0" xfId="0" applyNumberFormat="1" applyFill="1" applyAlignment="1">
      <alignment/>
    </xf>
    <xf numFmtId="0" fontId="60" fillId="33" borderId="37" xfId="0" applyFont="1" applyFill="1" applyBorder="1" applyAlignment="1">
      <alignment wrapText="1"/>
    </xf>
    <xf numFmtId="0" fontId="60" fillId="33" borderId="38" xfId="0" applyFont="1" applyFill="1" applyBorder="1" applyAlignment="1">
      <alignment wrapText="1"/>
    </xf>
    <xf numFmtId="0" fontId="0" fillId="33" borderId="38" xfId="0" applyFill="1" applyBorder="1" applyAlignment="1">
      <alignment wrapText="1"/>
    </xf>
    <xf numFmtId="164" fontId="59" fillId="33" borderId="11" xfId="0" applyNumberFormat="1" applyFont="1" applyFill="1" applyBorder="1" applyAlignment="1">
      <alignment/>
    </xf>
    <xf numFmtId="0" fontId="54" fillId="33" borderId="30" xfId="0" applyFont="1" applyFill="1" applyBorder="1" applyAlignment="1">
      <alignment wrapText="1"/>
    </xf>
    <xf numFmtId="0" fontId="0" fillId="33" borderId="21" xfId="0" applyFill="1" applyBorder="1" applyAlignment="1">
      <alignment wrapText="1"/>
    </xf>
    <xf numFmtId="0" fontId="18" fillId="33" borderId="10" xfId="0" applyFont="1" applyFill="1" applyBorder="1" applyAlignment="1">
      <alignment wrapText="1"/>
    </xf>
    <xf numFmtId="0" fontId="19" fillId="33" borderId="10" xfId="0" applyFont="1" applyFill="1" applyBorder="1" applyAlignment="1">
      <alignment wrapText="1"/>
    </xf>
    <xf numFmtId="0" fontId="65" fillId="33" borderId="0" xfId="0" applyFont="1" applyFill="1" applyAlignment="1">
      <alignment horizontal="center" wrapText="1"/>
    </xf>
    <xf numFmtId="0" fontId="78" fillId="33" borderId="0" xfId="0" applyFont="1" applyFill="1" applyAlignment="1">
      <alignment horizontal="center" wrapText="1"/>
    </xf>
    <xf numFmtId="0" fontId="60" fillId="33" borderId="31" xfId="0" applyFont="1" applyFill="1" applyBorder="1" applyAlignment="1">
      <alignment/>
    </xf>
    <xf numFmtId="0" fontId="72" fillId="33" borderId="0" xfId="0" applyFont="1" applyFill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92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2.7109375" style="0" customWidth="1"/>
    <col min="2" max="2" width="17.28125" style="0" customWidth="1"/>
    <col min="3" max="3" width="11.8515625" style="0" customWidth="1"/>
    <col min="4" max="4" width="15.00390625" style="0" customWidth="1"/>
    <col min="5" max="5" width="15.7109375" style="0" customWidth="1"/>
    <col min="6" max="6" width="12.57421875" style="0" customWidth="1"/>
    <col min="7" max="7" width="13.421875" style="0" customWidth="1"/>
    <col min="8" max="8" width="10.140625" style="0" customWidth="1"/>
    <col min="9" max="9" width="13.8515625" style="0" bestFit="1" customWidth="1"/>
    <col min="10" max="10" width="14.421875" style="0" bestFit="1" customWidth="1"/>
    <col min="13" max="13" width="14.57421875" style="0" customWidth="1"/>
    <col min="15" max="15" width="11.57421875" style="0" customWidth="1"/>
  </cols>
  <sheetData>
    <row r="1" spans="5:6" s="8" customFormat="1" ht="15">
      <c r="E1" s="51" t="s">
        <v>55</v>
      </c>
      <c r="F1" s="180" t="s">
        <v>155</v>
      </c>
    </row>
    <row r="2" s="8" customFormat="1" ht="14.25" customHeight="1"/>
    <row r="3" s="8" customFormat="1" ht="8.25" customHeight="1" hidden="1"/>
    <row r="4" spans="2:5" s="8" customFormat="1" ht="15.75" customHeight="1">
      <c r="B4" s="9" t="s">
        <v>58</v>
      </c>
      <c r="C4" s="10"/>
      <c r="D4" s="10"/>
      <c r="E4" s="10"/>
    </row>
    <row r="5" spans="2:5" s="8" customFormat="1" ht="17.25">
      <c r="B5" s="9" t="s">
        <v>100</v>
      </c>
      <c r="C5" s="10"/>
      <c r="D5" s="10"/>
      <c r="E5" s="10"/>
    </row>
    <row r="6" s="8" customFormat="1" ht="10.5" customHeight="1"/>
    <row r="7" s="8" customFormat="1" ht="15">
      <c r="B7" s="8" t="s">
        <v>101</v>
      </c>
    </row>
    <row r="8" s="8" customFormat="1" ht="15">
      <c r="B8" s="8" t="s">
        <v>57</v>
      </c>
    </row>
    <row r="9" s="8" customFormat="1" ht="15">
      <c r="B9" s="8" t="s">
        <v>62</v>
      </c>
    </row>
    <row r="10" spans="2:3" s="8" customFormat="1" ht="15">
      <c r="B10" s="8">
        <v>80101</v>
      </c>
      <c r="C10" s="8" t="s">
        <v>47</v>
      </c>
    </row>
    <row r="11" spans="2:3" s="8" customFormat="1" ht="15">
      <c r="B11" s="8">
        <v>80103</v>
      </c>
      <c r="C11" s="8" t="s">
        <v>52</v>
      </c>
    </row>
    <row r="12" spans="2:3" s="8" customFormat="1" ht="15">
      <c r="B12" s="8">
        <v>80104</v>
      </c>
      <c r="C12" s="8" t="s">
        <v>0</v>
      </c>
    </row>
    <row r="13" spans="2:3" s="8" customFormat="1" ht="15">
      <c r="B13" s="8">
        <v>80107</v>
      </c>
      <c r="C13" s="8" t="s">
        <v>4</v>
      </c>
    </row>
    <row r="14" spans="2:3" s="8" customFormat="1" ht="15">
      <c r="B14" s="8">
        <v>80113</v>
      </c>
      <c r="C14" s="8" t="s">
        <v>1</v>
      </c>
    </row>
    <row r="15" spans="2:3" s="8" customFormat="1" ht="15">
      <c r="B15" s="8">
        <v>80146</v>
      </c>
      <c r="C15" s="8" t="s">
        <v>2</v>
      </c>
    </row>
    <row r="16" spans="2:3" s="8" customFormat="1" ht="15">
      <c r="B16" s="8">
        <v>80148</v>
      </c>
      <c r="C16" s="8" t="s">
        <v>53</v>
      </c>
    </row>
    <row r="17" spans="2:3" s="8" customFormat="1" ht="15">
      <c r="B17" s="8">
        <v>80149</v>
      </c>
      <c r="C17" s="8" t="s">
        <v>17</v>
      </c>
    </row>
    <row r="18" s="8" customFormat="1" ht="15">
      <c r="C18" s="8" t="s">
        <v>18</v>
      </c>
    </row>
    <row r="19" spans="2:3" s="8" customFormat="1" ht="15">
      <c r="B19" s="8">
        <v>80150</v>
      </c>
      <c r="C19" s="8" t="s">
        <v>17</v>
      </c>
    </row>
    <row r="20" s="8" customFormat="1" ht="15">
      <c r="C20" s="8" t="s">
        <v>19</v>
      </c>
    </row>
    <row r="21" spans="2:3" s="8" customFormat="1" ht="15">
      <c r="B21" s="8">
        <v>80153</v>
      </c>
      <c r="C21" s="8" t="s">
        <v>48</v>
      </c>
    </row>
    <row r="22" s="8" customFormat="1" ht="15">
      <c r="C22" s="8" t="s">
        <v>20</v>
      </c>
    </row>
    <row r="23" spans="2:3" s="8" customFormat="1" ht="15">
      <c r="B23" s="8">
        <v>80195</v>
      </c>
      <c r="C23" s="8" t="s">
        <v>3</v>
      </c>
    </row>
    <row r="24" spans="2:3" s="8" customFormat="1" ht="15">
      <c r="B24" s="8">
        <v>85404</v>
      </c>
      <c r="C24" s="8" t="s">
        <v>92</v>
      </c>
    </row>
    <row r="25" spans="2:3" s="8" customFormat="1" ht="15">
      <c r="B25" s="8">
        <v>85446</v>
      </c>
      <c r="C25" s="8" t="str">
        <f>C15</f>
        <v>dokształcanie i doskonalenie nauczycieli</v>
      </c>
    </row>
    <row r="26" spans="2:3" s="8" customFormat="1" ht="15">
      <c r="B26" s="8">
        <v>75085</v>
      </c>
      <c r="C26" s="8" t="s">
        <v>54</v>
      </c>
    </row>
    <row r="27" spans="2:3" s="8" customFormat="1" ht="15">
      <c r="B27" s="8">
        <v>85295</v>
      </c>
      <c r="C27" s="8" t="s">
        <v>3</v>
      </c>
    </row>
    <row r="28" spans="2:3" s="8" customFormat="1" ht="15">
      <c r="B28" s="8">
        <v>92605</v>
      </c>
      <c r="C28" s="8" t="s">
        <v>70</v>
      </c>
    </row>
    <row r="29" s="8" customFormat="1" ht="4.5" customHeight="1"/>
    <row r="30" s="8" customFormat="1" ht="15">
      <c r="B30" s="10" t="s">
        <v>102</v>
      </c>
    </row>
    <row r="31" s="8" customFormat="1" ht="4.5" customHeight="1" thickBot="1"/>
    <row r="32" spans="2:6" s="8" customFormat="1" ht="15" thickBot="1">
      <c r="B32" s="55" t="s">
        <v>5</v>
      </c>
      <c r="C32" s="56" t="s">
        <v>6</v>
      </c>
      <c r="D32" s="56" t="s">
        <v>8</v>
      </c>
      <c r="E32" s="57" t="s">
        <v>7</v>
      </c>
      <c r="F32" s="58" t="s">
        <v>9</v>
      </c>
    </row>
    <row r="33" spans="2:6" s="8" customFormat="1" ht="15">
      <c r="B33" s="98" t="s">
        <v>16</v>
      </c>
      <c r="C33" s="59">
        <v>80101</v>
      </c>
      <c r="D33" s="60">
        <v>1686722</v>
      </c>
      <c r="E33" s="61">
        <v>1580113.51</v>
      </c>
      <c r="F33" s="62">
        <f>E33/D33*100</f>
        <v>93.67954588841552</v>
      </c>
    </row>
    <row r="34" spans="2:6" s="8" customFormat="1" ht="15">
      <c r="B34" s="99"/>
      <c r="C34" s="11">
        <v>80103</v>
      </c>
      <c r="D34" s="63">
        <v>122418</v>
      </c>
      <c r="E34" s="53">
        <v>110843.84</v>
      </c>
      <c r="F34" s="64">
        <f aca="true" t="shared" si="0" ref="F34:F40">E34/D34*100</f>
        <v>90.54537731379372</v>
      </c>
    </row>
    <row r="35" spans="2:6" s="8" customFormat="1" ht="15">
      <c r="B35" s="99"/>
      <c r="C35" s="11">
        <v>80107</v>
      </c>
      <c r="D35" s="63">
        <v>110409</v>
      </c>
      <c r="E35" s="53">
        <v>102158.4</v>
      </c>
      <c r="F35" s="64">
        <f t="shared" si="0"/>
        <v>92.5272396272043</v>
      </c>
    </row>
    <row r="36" spans="2:6" s="8" customFormat="1" ht="15">
      <c r="B36" s="99"/>
      <c r="C36" s="11">
        <v>80146</v>
      </c>
      <c r="D36" s="63">
        <v>15429</v>
      </c>
      <c r="E36" s="53">
        <v>10258.5</v>
      </c>
      <c r="F36" s="64">
        <f t="shared" si="0"/>
        <v>66.48843087692009</v>
      </c>
    </row>
    <row r="37" spans="2:6" s="8" customFormat="1" ht="15">
      <c r="B37" s="99"/>
      <c r="C37" s="11">
        <v>80148</v>
      </c>
      <c r="D37" s="63">
        <v>138565</v>
      </c>
      <c r="E37" s="53">
        <v>81298.57</v>
      </c>
      <c r="F37" s="64">
        <f t="shared" si="0"/>
        <v>58.67179302132573</v>
      </c>
    </row>
    <row r="38" spans="2:6" s="8" customFormat="1" ht="15">
      <c r="B38" s="99"/>
      <c r="C38" s="11">
        <v>80150</v>
      </c>
      <c r="D38" s="63">
        <v>216937</v>
      </c>
      <c r="E38" s="53">
        <v>181030.8</v>
      </c>
      <c r="F38" s="64">
        <f t="shared" si="0"/>
        <v>83.44855879817642</v>
      </c>
    </row>
    <row r="39" spans="2:6" s="8" customFormat="1" ht="15">
      <c r="B39" s="99"/>
      <c r="C39" s="11">
        <v>80153</v>
      </c>
      <c r="D39" s="63">
        <v>6677.55</v>
      </c>
      <c r="E39" s="53">
        <v>6676.14</v>
      </c>
      <c r="F39" s="64">
        <f t="shared" si="0"/>
        <v>99.97888447110093</v>
      </c>
    </row>
    <row r="40" spans="2:6" s="8" customFormat="1" ht="15" thickBot="1">
      <c r="B40" s="100"/>
      <c r="C40" s="35">
        <v>80195</v>
      </c>
      <c r="D40" s="65">
        <v>9297</v>
      </c>
      <c r="E40" s="65">
        <v>9297</v>
      </c>
      <c r="F40" s="66">
        <f t="shared" si="0"/>
        <v>100</v>
      </c>
    </row>
    <row r="41" spans="2:8" s="8" customFormat="1" ht="15.75" thickBot="1">
      <c r="B41" s="138" t="s">
        <v>10</v>
      </c>
      <c r="C41" s="139"/>
      <c r="D41" s="67">
        <f>SUM(D33:D40)</f>
        <v>2306454.55</v>
      </c>
      <c r="E41" s="67">
        <f>SUM(E33:E40)</f>
        <v>2081676.76</v>
      </c>
      <c r="F41" s="68">
        <f>E41/D41*100</f>
        <v>90.25440193477908</v>
      </c>
      <c r="H41" s="12"/>
    </row>
    <row r="42" spans="2:6" s="13" customFormat="1" ht="15">
      <c r="B42" s="98" t="s">
        <v>64</v>
      </c>
      <c r="C42" s="11">
        <v>80101</v>
      </c>
      <c r="D42" s="63">
        <v>2165921</v>
      </c>
      <c r="E42" s="53">
        <v>2070663.21</v>
      </c>
      <c r="F42" s="64">
        <f>E42/D42*100</f>
        <v>95.60197301748309</v>
      </c>
    </row>
    <row r="43" spans="2:6" s="13" customFormat="1" ht="15">
      <c r="B43" s="99"/>
      <c r="C43" s="11">
        <v>80103</v>
      </c>
      <c r="D43" s="63">
        <v>88140</v>
      </c>
      <c r="E43" s="53">
        <v>75619.12</v>
      </c>
      <c r="F43" s="64">
        <f aca="true" t="shared" si="1" ref="F43:F50">E43/D43*100</f>
        <v>85.79432720671659</v>
      </c>
    </row>
    <row r="44" spans="2:6" s="13" customFormat="1" ht="15">
      <c r="B44" s="99"/>
      <c r="C44" s="11">
        <v>80107</v>
      </c>
      <c r="D44" s="63">
        <v>82650</v>
      </c>
      <c r="E44" s="53">
        <v>76510.03</v>
      </c>
      <c r="F44" s="64">
        <f t="shared" si="1"/>
        <v>92.57111917725348</v>
      </c>
    </row>
    <row r="45" spans="2:6" s="13" customFormat="1" ht="15">
      <c r="B45" s="99"/>
      <c r="C45" s="11">
        <v>80146</v>
      </c>
      <c r="D45" s="63">
        <v>9842</v>
      </c>
      <c r="E45" s="53">
        <v>7614.22</v>
      </c>
      <c r="F45" s="64">
        <f t="shared" si="1"/>
        <v>77.36456004877058</v>
      </c>
    </row>
    <row r="46" spans="2:6" s="13" customFormat="1" ht="15">
      <c r="B46" s="99"/>
      <c r="C46" s="11">
        <v>80148</v>
      </c>
      <c r="D46" s="63">
        <v>105613</v>
      </c>
      <c r="E46" s="53">
        <v>85483.34</v>
      </c>
      <c r="F46" s="64">
        <f t="shared" si="1"/>
        <v>80.94016835048716</v>
      </c>
    </row>
    <row r="47" spans="2:6" s="13" customFormat="1" ht="15">
      <c r="B47" s="99"/>
      <c r="C47" s="11">
        <v>80149</v>
      </c>
      <c r="D47" s="63">
        <v>6</v>
      </c>
      <c r="E47" s="53">
        <v>4.28</v>
      </c>
      <c r="F47" s="64">
        <f t="shared" si="1"/>
        <v>71.33333333333334</v>
      </c>
    </row>
    <row r="48" spans="2:10" s="13" customFormat="1" ht="15">
      <c r="B48" s="99"/>
      <c r="C48" s="11">
        <v>80150</v>
      </c>
      <c r="D48" s="63">
        <v>58118</v>
      </c>
      <c r="E48" s="53">
        <v>36070.7</v>
      </c>
      <c r="F48" s="64">
        <f t="shared" si="1"/>
        <v>62.06459272514538</v>
      </c>
      <c r="J48" s="14"/>
    </row>
    <row r="49" spans="2:10" s="13" customFormat="1" ht="15">
      <c r="B49" s="99"/>
      <c r="C49" s="11">
        <v>80153</v>
      </c>
      <c r="D49" s="63">
        <v>8198.19</v>
      </c>
      <c r="E49" s="53">
        <v>8196.42</v>
      </c>
      <c r="F49" s="64">
        <f t="shared" si="1"/>
        <v>99.97840986851976</v>
      </c>
      <c r="J49" s="14"/>
    </row>
    <row r="50" spans="2:10" s="13" customFormat="1" ht="15.75" thickBot="1">
      <c r="B50" s="99"/>
      <c r="C50" s="11">
        <v>80195</v>
      </c>
      <c r="D50" s="63">
        <v>26341</v>
      </c>
      <c r="E50" s="53">
        <f>D50</f>
        <v>26341</v>
      </c>
      <c r="F50" s="64">
        <f t="shared" si="1"/>
        <v>100</v>
      </c>
      <c r="J50" s="14"/>
    </row>
    <row r="51" spans="2:10" s="13" customFormat="1" ht="15.75" thickBot="1">
      <c r="B51" s="138" t="s">
        <v>10</v>
      </c>
      <c r="C51" s="139"/>
      <c r="D51" s="67">
        <f>SUM(D42:D50)</f>
        <v>2544829.19</v>
      </c>
      <c r="E51" s="67">
        <f>SUM(E42:E50)</f>
        <v>2386502.32</v>
      </c>
      <c r="F51" s="68">
        <f>E51/D51*100</f>
        <v>93.77848734908608</v>
      </c>
      <c r="G51" s="14"/>
      <c r="J51" s="14"/>
    </row>
    <row r="52" spans="2:10" s="13" customFormat="1" ht="15">
      <c r="B52" s="98" t="s">
        <v>65</v>
      </c>
      <c r="C52" s="59">
        <v>80101</v>
      </c>
      <c r="D52" s="60">
        <v>1827359</v>
      </c>
      <c r="E52" s="60">
        <v>1726910.03</v>
      </c>
      <c r="F52" s="62">
        <f>E52/D52*100</f>
        <v>94.50305221907682</v>
      </c>
      <c r="J52" s="14"/>
    </row>
    <row r="53" spans="2:10" s="13" customFormat="1" ht="15">
      <c r="B53" s="99"/>
      <c r="C53" s="11">
        <v>80103</v>
      </c>
      <c r="D53" s="63">
        <v>179156</v>
      </c>
      <c r="E53" s="63">
        <v>150677.5</v>
      </c>
      <c r="F53" s="64">
        <f aca="true" t="shared" si="2" ref="F53:F60">E53/D53*100</f>
        <v>84.1040768938802</v>
      </c>
      <c r="J53" s="14"/>
    </row>
    <row r="54" spans="2:10" s="13" customFormat="1" ht="15">
      <c r="B54" s="99"/>
      <c r="C54" s="11">
        <v>80107</v>
      </c>
      <c r="D54" s="63">
        <v>95520</v>
      </c>
      <c r="E54" s="63">
        <v>84695.62</v>
      </c>
      <c r="F54" s="64">
        <f t="shared" si="2"/>
        <v>88.66794388609715</v>
      </c>
      <c r="J54" s="14"/>
    </row>
    <row r="55" spans="2:10" s="13" customFormat="1" ht="15">
      <c r="B55" s="99"/>
      <c r="C55" s="11">
        <v>80146</v>
      </c>
      <c r="D55" s="63">
        <v>9722</v>
      </c>
      <c r="E55" s="63">
        <v>2072.5</v>
      </c>
      <c r="F55" s="64">
        <f t="shared" si="2"/>
        <v>21.317630117259824</v>
      </c>
      <c r="J55" s="14"/>
    </row>
    <row r="56" spans="2:6" s="13" customFormat="1" ht="15">
      <c r="B56" s="99"/>
      <c r="C56" s="11">
        <v>80148</v>
      </c>
      <c r="D56" s="63">
        <v>98063</v>
      </c>
      <c r="E56" s="63">
        <v>79610.56</v>
      </c>
      <c r="F56" s="64">
        <f t="shared" si="2"/>
        <v>81.18307618571734</v>
      </c>
    </row>
    <row r="57" spans="2:6" s="13" customFormat="1" ht="15">
      <c r="B57" s="99"/>
      <c r="C57" s="11">
        <v>80149</v>
      </c>
      <c r="D57" s="63">
        <v>365</v>
      </c>
      <c r="E57" s="63">
        <v>259.03</v>
      </c>
      <c r="F57" s="64">
        <f t="shared" si="2"/>
        <v>70.96712328767123</v>
      </c>
    </row>
    <row r="58" spans="2:6" s="13" customFormat="1" ht="15">
      <c r="B58" s="99"/>
      <c r="C58" s="11">
        <v>80150</v>
      </c>
      <c r="D58" s="63">
        <v>33023</v>
      </c>
      <c r="E58" s="63">
        <v>19043.66</v>
      </c>
      <c r="F58" s="64">
        <f t="shared" si="2"/>
        <v>57.66786784968052</v>
      </c>
    </row>
    <row r="59" spans="2:6" s="13" customFormat="1" ht="15">
      <c r="B59" s="99"/>
      <c r="C59" s="11">
        <v>80153</v>
      </c>
      <c r="D59" s="63">
        <v>5370.75</v>
      </c>
      <c r="E59" s="63">
        <v>5369.4</v>
      </c>
      <c r="F59" s="64">
        <f t="shared" si="2"/>
        <v>99.97486384583158</v>
      </c>
    </row>
    <row r="60" spans="2:6" s="13" customFormat="1" ht="15.75" thickBot="1">
      <c r="B60" s="99"/>
      <c r="C60" s="35">
        <v>80195</v>
      </c>
      <c r="D60" s="65">
        <v>13003</v>
      </c>
      <c r="E60" s="65">
        <v>13003</v>
      </c>
      <c r="F60" s="64">
        <f t="shared" si="2"/>
        <v>100</v>
      </c>
    </row>
    <row r="61" spans="2:7" s="13" customFormat="1" ht="15.75" thickBot="1">
      <c r="B61" s="138" t="s">
        <v>10</v>
      </c>
      <c r="C61" s="139"/>
      <c r="D61" s="67">
        <f>SUM(D52:D60)</f>
        <v>2261581.75</v>
      </c>
      <c r="E61" s="67">
        <f>SUM(E52:E60)</f>
        <v>2081641.2999999998</v>
      </c>
      <c r="F61" s="68">
        <f>E61/D61*100</f>
        <v>92.04360178445903</v>
      </c>
      <c r="G61" s="14"/>
    </row>
    <row r="62" spans="2:6" s="13" customFormat="1" ht="15">
      <c r="B62" s="101" t="s">
        <v>66</v>
      </c>
      <c r="C62" s="69">
        <v>80101</v>
      </c>
      <c r="D62" s="60">
        <v>3958679</v>
      </c>
      <c r="E62" s="60">
        <v>3808523.54</v>
      </c>
      <c r="F62" s="62">
        <f>E62/D62*100</f>
        <v>96.20693014007956</v>
      </c>
    </row>
    <row r="63" spans="2:6" s="13" customFormat="1" ht="15">
      <c r="B63" s="102"/>
      <c r="C63" s="69">
        <v>80107</v>
      </c>
      <c r="D63" s="60">
        <v>206428</v>
      </c>
      <c r="E63" s="60">
        <v>195406.81</v>
      </c>
      <c r="F63" s="62">
        <f>E63/D63*100</f>
        <v>94.66100044567597</v>
      </c>
    </row>
    <row r="64" spans="2:6" s="13" customFormat="1" ht="15">
      <c r="B64" s="102"/>
      <c r="C64" s="36">
        <v>80146</v>
      </c>
      <c r="D64" s="63">
        <v>10276</v>
      </c>
      <c r="E64" s="63">
        <v>3806.86</v>
      </c>
      <c r="F64" s="64">
        <f>E64/D64*100</f>
        <v>37.046126897625534</v>
      </c>
    </row>
    <row r="65" spans="2:6" s="13" customFormat="1" ht="15">
      <c r="B65" s="102"/>
      <c r="C65" s="36">
        <v>80148</v>
      </c>
      <c r="D65" s="63">
        <v>267239</v>
      </c>
      <c r="E65" s="63">
        <v>240916.59</v>
      </c>
      <c r="F65" s="64">
        <f>E65/D65*100</f>
        <v>90.15023630532968</v>
      </c>
    </row>
    <row r="66" spans="2:6" s="13" customFormat="1" ht="15">
      <c r="B66" s="102"/>
      <c r="C66" s="36">
        <v>80150</v>
      </c>
      <c r="D66" s="63">
        <v>270902</v>
      </c>
      <c r="E66" s="63">
        <v>239870.89</v>
      </c>
      <c r="F66" s="64">
        <f>E66/D66*100</f>
        <v>88.54526360085936</v>
      </c>
    </row>
    <row r="67" spans="2:6" s="13" customFormat="1" ht="15">
      <c r="B67" s="102"/>
      <c r="C67" s="36">
        <v>80153</v>
      </c>
      <c r="D67" s="63">
        <v>23714.46</v>
      </c>
      <c r="E67" s="63">
        <v>23708.82</v>
      </c>
      <c r="F67" s="64">
        <f>E67/D67*100</f>
        <v>99.9762170422603</v>
      </c>
    </row>
    <row r="68" spans="2:6" s="13" customFormat="1" ht="15.75" thickBot="1">
      <c r="B68" s="102"/>
      <c r="C68" s="70">
        <v>80195</v>
      </c>
      <c r="D68" s="63">
        <v>81384</v>
      </c>
      <c r="E68" s="63">
        <v>72855</v>
      </c>
      <c r="F68" s="64">
        <f>E68/D68*100</f>
        <v>89.52005308168683</v>
      </c>
    </row>
    <row r="69" spans="2:7" s="13" customFormat="1" ht="15.75" thickBot="1">
      <c r="B69" s="138" t="s">
        <v>10</v>
      </c>
      <c r="C69" s="139"/>
      <c r="D69" s="67">
        <f>SUM(D62:D68)</f>
        <v>4818622.46</v>
      </c>
      <c r="E69" s="67">
        <f>SUM(E62:E68)</f>
        <v>4585088.51</v>
      </c>
      <c r="F69" s="68">
        <f>E69/D69*100</f>
        <v>95.15351219277719</v>
      </c>
      <c r="G69" s="14"/>
    </row>
    <row r="70" spans="2:6" s="13" customFormat="1" ht="15.75" customHeight="1">
      <c r="B70" s="169" t="s">
        <v>67</v>
      </c>
      <c r="C70" s="71">
        <v>80104</v>
      </c>
      <c r="D70" s="72">
        <v>1660118</v>
      </c>
      <c r="E70" s="72">
        <v>1529059.04</v>
      </c>
      <c r="F70" s="73">
        <f>E70/D70*100</f>
        <v>92.10544310705625</v>
      </c>
    </row>
    <row r="71" spans="2:6" s="13" customFormat="1" ht="15">
      <c r="B71" s="170"/>
      <c r="C71" s="11">
        <v>80146</v>
      </c>
      <c r="D71" s="63">
        <v>6269</v>
      </c>
      <c r="E71" s="63">
        <v>1494</v>
      </c>
      <c r="F71" s="64">
        <f aca="true" t="shared" si="3" ref="F71:F76">E71/D71*100</f>
        <v>23.831552081671717</v>
      </c>
    </row>
    <row r="72" spans="2:6" s="13" customFormat="1" ht="15">
      <c r="B72" s="170"/>
      <c r="C72" s="11">
        <v>80148</v>
      </c>
      <c r="D72" s="63">
        <v>771608</v>
      </c>
      <c r="E72" s="63">
        <v>308032.75</v>
      </c>
      <c r="F72" s="64">
        <f t="shared" si="3"/>
        <v>39.92088599392438</v>
      </c>
    </row>
    <row r="73" spans="2:6" s="13" customFormat="1" ht="15">
      <c r="B73" s="170"/>
      <c r="C73" s="11">
        <v>80149</v>
      </c>
      <c r="D73" s="63">
        <v>82297</v>
      </c>
      <c r="E73" s="63">
        <v>50583.19</v>
      </c>
      <c r="F73" s="64">
        <f t="shared" si="3"/>
        <v>61.464196750792865</v>
      </c>
    </row>
    <row r="74" spans="2:6" s="13" customFormat="1" ht="15">
      <c r="B74" s="170"/>
      <c r="C74" s="11">
        <v>80195</v>
      </c>
      <c r="D74" s="63">
        <v>17628</v>
      </c>
      <c r="E74" s="63">
        <v>17628</v>
      </c>
      <c r="F74" s="64">
        <f t="shared" si="3"/>
        <v>100</v>
      </c>
    </row>
    <row r="75" spans="2:6" s="13" customFormat="1" ht="15">
      <c r="B75" s="171"/>
      <c r="C75" s="11">
        <v>85404</v>
      </c>
      <c r="D75" s="63">
        <v>21941</v>
      </c>
      <c r="E75" s="63">
        <v>11662.06</v>
      </c>
      <c r="F75" s="64">
        <f t="shared" si="3"/>
        <v>53.15190738799508</v>
      </c>
    </row>
    <row r="76" spans="2:6" s="13" customFormat="1" ht="15.75" thickBot="1">
      <c r="B76" s="171"/>
      <c r="C76" s="35">
        <v>85446</v>
      </c>
      <c r="D76" s="65">
        <v>135</v>
      </c>
      <c r="E76" s="65">
        <v>0</v>
      </c>
      <c r="F76" s="74">
        <f t="shared" si="3"/>
        <v>0</v>
      </c>
    </row>
    <row r="77" spans="2:7" s="13" customFormat="1" ht="15.75" thickBot="1">
      <c r="B77" s="138" t="s">
        <v>10</v>
      </c>
      <c r="C77" s="160"/>
      <c r="D77" s="67">
        <f>SUM(D70:D76)</f>
        <v>2559996</v>
      </c>
      <c r="E77" s="67">
        <f>SUM(E70:E76)</f>
        <v>1918459.04</v>
      </c>
      <c r="F77" s="68">
        <f>E77/D77*100</f>
        <v>74.93992334363023</v>
      </c>
      <c r="G77" s="14"/>
    </row>
    <row r="78" spans="2:6" s="13" customFormat="1" ht="15">
      <c r="B78" s="103" t="s">
        <v>68</v>
      </c>
      <c r="C78" s="11">
        <v>80101</v>
      </c>
      <c r="D78" s="63">
        <v>2145309</v>
      </c>
      <c r="E78" s="53">
        <v>1990269.17</v>
      </c>
      <c r="F78" s="64">
        <f>E78/D78*100</f>
        <v>92.77307697865436</v>
      </c>
    </row>
    <row r="79" spans="2:6" s="13" customFormat="1" ht="15">
      <c r="B79" s="104"/>
      <c r="C79" s="11">
        <v>80103</v>
      </c>
      <c r="D79" s="63">
        <v>169332</v>
      </c>
      <c r="E79" s="53">
        <v>158437.95</v>
      </c>
      <c r="F79" s="64">
        <f aca="true" t="shared" si="4" ref="F79:F88">E79/D79*100</f>
        <v>93.56645524767913</v>
      </c>
    </row>
    <row r="80" spans="2:6" s="13" customFormat="1" ht="15">
      <c r="B80" s="104"/>
      <c r="C80" s="11">
        <v>80107</v>
      </c>
      <c r="D80" s="63">
        <v>107338</v>
      </c>
      <c r="E80" s="53">
        <v>93410.73</v>
      </c>
      <c r="F80" s="64">
        <f t="shared" si="4"/>
        <v>87.02484674579367</v>
      </c>
    </row>
    <row r="81" spans="2:6" s="13" customFormat="1" ht="15">
      <c r="B81" s="104"/>
      <c r="C81" s="11">
        <v>80146</v>
      </c>
      <c r="D81" s="63">
        <v>7755</v>
      </c>
      <c r="E81" s="53">
        <v>3419.6</v>
      </c>
      <c r="F81" s="64">
        <f t="shared" si="4"/>
        <v>44.09542230818826</v>
      </c>
    </row>
    <row r="82" spans="2:6" s="13" customFormat="1" ht="15">
      <c r="B82" s="104"/>
      <c r="C82" s="11">
        <v>80148</v>
      </c>
      <c r="D82" s="63">
        <v>111213</v>
      </c>
      <c r="E82" s="53">
        <v>93341.55</v>
      </c>
      <c r="F82" s="64">
        <f t="shared" si="4"/>
        <v>83.93043079496103</v>
      </c>
    </row>
    <row r="83" spans="2:6" s="13" customFormat="1" ht="15">
      <c r="B83" s="104"/>
      <c r="C83" s="11">
        <v>80149</v>
      </c>
      <c r="D83" s="63">
        <v>270</v>
      </c>
      <c r="E83" s="53">
        <v>56.6</v>
      </c>
      <c r="F83" s="64">
        <f t="shared" si="4"/>
        <v>20.962962962962965</v>
      </c>
    </row>
    <row r="84" spans="2:6" s="13" customFormat="1" ht="15">
      <c r="B84" s="104"/>
      <c r="C84" s="11">
        <v>80150</v>
      </c>
      <c r="D84" s="63">
        <v>76635</v>
      </c>
      <c r="E84" s="53">
        <v>48658.27</v>
      </c>
      <c r="F84" s="64">
        <f t="shared" si="4"/>
        <v>63.4935342859007</v>
      </c>
    </row>
    <row r="85" spans="2:6" s="13" customFormat="1" ht="15">
      <c r="B85" s="104"/>
      <c r="C85" s="11">
        <v>80153</v>
      </c>
      <c r="D85" s="63">
        <v>8404.4</v>
      </c>
      <c r="E85" s="53">
        <v>8401.8</v>
      </c>
      <c r="F85" s="64">
        <f t="shared" si="4"/>
        <v>99.9690638237114</v>
      </c>
    </row>
    <row r="86" spans="2:6" s="13" customFormat="1" ht="15">
      <c r="B86" s="104"/>
      <c r="C86" s="11">
        <v>80195</v>
      </c>
      <c r="D86" s="63">
        <v>38996</v>
      </c>
      <c r="E86" s="53">
        <v>38996</v>
      </c>
      <c r="F86" s="64">
        <f t="shared" si="4"/>
        <v>100</v>
      </c>
    </row>
    <row r="87" spans="2:6" s="13" customFormat="1" ht="15">
      <c r="B87" s="104"/>
      <c r="C87" s="11">
        <v>85404</v>
      </c>
      <c r="D87" s="63">
        <v>29008</v>
      </c>
      <c r="E87" s="53">
        <v>25435.86</v>
      </c>
      <c r="F87" s="64">
        <f t="shared" si="4"/>
        <v>87.68567291781578</v>
      </c>
    </row>
    <row r="88" spans="2:6" s="13" customFormat="1" ht="15.75" thickBot="1">
      <c r="B88" s="105"/>
      <c r="C88" s="35">
        <v>85446</v>
      </c>
      <c r="D88" s="75">
        <v>82</v>
      </c>
      <c r="E88" s="76">
        <v>0</v>
      </c>
      <c r="F88" s="77">
        <f t="shared" si="4"/>
        <v>0</v>
      </c>
    </row>
    <row r="89" spans="2:7" s="13" customFormat="1" ht="15.75" thickBot="1">
      <c r="B89" s="138" t="s">
        <v>10</v>
      </c>
      <c r="C89" s="139"/>
      <c r="D89" s="67">
        <f>SUM(D78:D88)</f>
        <v>2694342.4</v>
      </c>
      <c r="E89" s="67">
        <f>SUM(E78:E88)</f>
        <v>2460427.53</v>
      </c>
      <c r="F89" s="68">
        <f>E89/D89*100</f>
        <v>91.31829458646385</v>
      </c>
      <c r="G89" s="14"/>
    </row>
    <row r="90" spans="2:6" s="13" customFormat="1" ht="15">
      <c r="B90" s="98" t="s">
        <v>69</v>
      </c>
      <c r="C90" s="59">
        <v>75085</v>
      </c>
      <c r="D90" s="60">
        <v>708827</v>
      </c>
      <c r="E90" s="61">
        <v>694893.74</v>
      </c>
      <c r="F90" s="62">
        <f>E90/D90*100</f>
        <v>98.0343214917039</v>
      </c>
    </row>
    <row r="91" spans="2:6" s="13" customFormat="1" ht="15">
      <c r="B91" s="99"/>
      <c r="C91" s="11">
        <v>80113</v>
      </c>
      <c r="D91" s="63">
        <v>709818</v>
      </c>
      <c r="E91" s="53">
        <v>621524.71</v>
      </c>
      <c r="F91" s="64">
        <f>E91/D91*100</f>
        <v>87.56113679844692</v>
      </c>
    </row>
    <row r="92" spans="2:6" s="13" customFormat="1" ht="15">
      <c r="B92" s="99"/>
      <c r="C92" s="11">
        <v>80195</v>
      </c>
      <c r="D92" s="63">
        <v>4500</v>
      </c>
      <c r="E92" s="53">
        <v>2950</v>
      </c>
      <c r="F92" s="64">
        <f>E92/D92*100</f>
        <v>65.55555555555556</v>
      </c>
    </row>
    <row r="93" spans="2:6" s="13" customFormat="1" ht="15">
      <c r="B93" s="100"/>
      <c r="C93" s="11">
        <v>85295</v>
      </c>
      <c r="D93" s="63">
        <v>5000</v>
      </c>
      <c r="E93" s="63">
        <v>5000</v>
      </c>
      <c r="F93" s="78">
        <f>E93/D93*100</f>
        <v>100</v>
      </c>
    </row>
    <row r="94" spans="2:6" s="13" customFormat="1" ht="15.75" thickBot="1">
      <c r="B94" s="100"/>
      <c r="C94" s="35">
        <v>92605</v>
      </c>
      <c r="D94" s="65">
        <v>295000</v>
      </c>
      <c r="E94" s="65">
        <v>287000</v>
      </c>
      <c r="F94" s="66">
        <f>E94/D94*100</f>
        <v>97.28813559322033</v>
      </c>
    </row>
    <row r="95" spans="2:6" s="13" customFormat="1" ht="15.75" thickBot="1">
      <c r="B95" s="138" t="s">
        <v>10</v>
      </c>
      <c r="C95" s="139"/>
      <c r="D95" s="67">
        <f>SUM(D90:D94)</f>
        <v>1723145</v>
      </c>
      <c r="E95" s="67">
        <f>SUM(E90:E94)</f>
        <v>1611368.45</v>
      </c>
      <c r="F95" s="68">
        <f>E95/D95*100</f>
        <v>93.51322436591232</v>
      </c>
    </row>
    <row r="96" spans="2:8" s="13" customFormat="1" ht="18" customHeight="1" thickBot="1">
      <c r="B96" s="138" t="s">
        <v>11</v>
      </c>
      <c r="C96" s="149"/>
      <c r="D96" s="79">
        <f>D95+D89+D77+D69+D61+D51+D41</f>
        <v>18908971.349999998</v>
      </c>
      <c r="E96" s="79">
        <f>E95+E89+E77+E69+E61+E51+E41</f>
        <v>17125163.91</v>
      </c>
      <c r="F96" s="68">
        <f>E96/D96*100</f>
        <v>90.56634331406929</v>
      </c>
      <c r="H96" s="14"/>
    </row>
    <row r="97" s="13" customFormat="1" ht="14.25"/>
    <row r="98" s="13" customFormat="1" ht="115.5" customHeight="1"/>
    <row r="99" spans="2:9" s="13" customFormat="1" ht="15">
      <c r="B99" s="10" t="s">
        <v>13</v>
      </c>
      <c r="C99" s="8"/>
      <c r="D99" s="8"/>
      <c r="E99" s="8"/>
      <c r="F99" s="8"/>
      <c r="G99" s="8"/>
      <c r="H99" s="8"/>
      <c r="I99" s="8"/>
    </row>
    <row r="100" spans="2:9" s="13" customFormat="1" ht="15">
      <c r="B100" s="10" t="s">
        <v>103</v>
      </c>
      <c r="C100" s="8"/>
      <c r="D100" s="8"/>
      <c r="E100" s="8"/>
      <c r="F100" s="8"/>
      <c r="G100" s="8"/>
      <c r="H100" s="8"/>
      <c r="I100" s="8"/>
    </row>
    <row r="101" spans="2:9" s="13" customFormat="1" ht="0.75" customHeight="1">
      <c r="B101" s="8"/>
      <c r="C101" s="8"/>
      <c r="D101" s="8"/>
      <c r="E101" s="8"/>
      <c r="F101" s="8"/>
      <c r="G101" s="8"/>
      <c r="H101" s="8"/>
      <c r="I101" s="8"/>
    </row>
    <row r="102" spans="2:9" s="13" customFormat="1" ht="13.5" customHeight="1">
      <c r="B102" s="15" t="s">
        <v>5</v>
      </c>
      <c r="C102" s="15" t="s">
        <v>6</v>
      </c>
      <c r="D102" s="112" t="s">
        <v>12</v>
      </c>
      <c r="E102" s="140"/>
      <c r="F102" s="141"/>
      <c r="G102" s="8"/>
      <c r="H102" s="8"/>
      <c r="I102" s="8"/>
    </row>
    <row r="103" spans="2:9" s="13" customFormat="1" ht="14.25" customHeight="1">
      <c r="B103" s="110" t="str">
        <f>B33</f>
        <v>1. SP Górniki</v>
      </c>
      <c r="C103" s="11">
        <v>80101</v>
      </c>
      <c r="D103" s="123">
        <f>124861.6+10976.45+188092.21+19865.61+908064.95+61168</f>
        <v>1313028.8199999998</v>
      </c>
      <c r="E103" s="124"/>
      <c r="F103" s="125"/>
      <c r="G103" s="8"/>
      <c r="H103" s="8"/>
      <c r="I103" s="8"/>
    </row>
    <row r="104" spans="2:9" s="13" customFormat="1" ht="15">
      <c r="B104" s="115"/>
      <c r="C104" s="11">
        <v>80103</v>
      </c>
      <c r="D104" s="123">
        <f>561.95+15507.79+78.9+79688.33+5863.76</f>
        <v>101700.73</v>
      </c>
      <c r="E104" s="124"/>
      <c r="F104" s="125"/>
      <c r="G104" s="8"/>
      <c r="H104" s="8"/>
      <c r="I104" s="8"/>
    </row>
    <row r="105" spans="2:9" s="13" customFormat="1" ht="15">
      <c r="B105" s="115"/>
      <c r="C105" s="11">
        <v>80107</v>
      </c>
      <c r="D105" s="123">
        <f>10055.82+733.55+79324.79+5790.78</f>
        <v>95904.93999999999</v>
      </c>
      <c r="E105" s="124"/>
      <c r="F105" s="125"/>
      <c r="G105" s="8"/>
      <c r="H105" s="8"/>
      <c r="I105" s="8"/>
    </row>
    <row r="106" spans="2:9" s="13" customFormat="1" ht="15">
      <c r="B106" s="115"/>
      <c r="C106" s="11">
        <v>80148</v>
      </c>
      <c r="D106" s="123">
        <f>46956+3398.64+5080.42+25.18+900+127.5</f>
        <v>56487.74</v>
      </c>
      <c r="E106" s="124"/>
      <c r="F106" s="125"/>
      <c r="G106" s="8"/>
      <c r="H106" s="8"/>
      <c r="I106" s="8"/>
    </row>
    <row r="107" spans="2:9" s="13" customFormat="1" ht="15.75" thickBot="1">
      <c r="B107" s="115"/>
      <c r="C107" s="11">
        <v>80150</v>
      </c>
      <c r="D107" s="123">
        <f>38132.5+4794.64+21982.1+2159.76+85393.32+6640.22</f>
        <v>159102.54</v>
      </c>
      <c r="E107" s="124"/>
      <c r="F107" s="125"/>
      <c r="G107" s="8"/>
      <c r="H107" s="8"/>
      <c r="I107" s="8"/>
    </row>
    <row r="108" spans="2:9" s="13" customFormat="1" ht="14.25" customHeight="1" thickBot="1">
      <c r="B108" s="138" t="s">
        <v>10</v>
      </c>
      <c r="C108" s="139"/>
      <c r="D108" s="120">
        <f>SUM(D103:F107)</f>
        <v>1726224.7699999998</v>
      </c>
      <c r="E108" s="136"/>
      <c r="F108" s="155"/>
      <c r="G108" s="8"/>
      <c r="H108" s="8"/>
      <c r="I108" s="8"/>
    </row>
    <row r="109" spans="2:9" s="13" customFormat="1" ht="15" customHeight="1">
      <c r="B109" s="15" t="s">
        <v>5</v>
      </c>
      <c r="C109" s="15" t="s">
        <v>6</v>
      </c>
      <c r="D109" s="112" t="s">
        <v>12</v>
      </c>
      <c r="E109" s="140"/>
      <c r="F109" s="141"/>
      <c r="G109" s="8"/>
      <c r="H109" s="8"/>
      <c r="I109" s="8"/>
    </row>
    <row r="110" spans="2:9" s="13" customFormat="1" ht="15">
      <c r="B110" s="110" t="str">
        <f>B42</f>
        <v>2. SP Kapałów</v>
      </c>
      <c r="C110" s="11">
        <v>80101</v>
      </c>
      <c r="D110" s="123">
        <f>174363.12+12981.3+234681.15+21223.77+1101535.09+80753.3</f>
        <v>1625537.7300000002</v>
      </c>
      <c r="E110" s="124"/>
      <c r="F110" s="125"/>
      <c r="G110" s="8"/>
      <c r="H110" s="8"/>
      <c r="I110" s="8"/>
    </row>
    <row r="111" spans="2:9" s="13" customFormat="1" ht="15">
      <c r="B111" s="115"/>
      <c r="C111" s="11">
        <v>80103</v>
      </c>
      <c r="D111" s="123">
        <f>9933.37+1334.29+51317.08+4118.02</f>
        <v>66702.76000000001</v>
      </c>
      <c r="E111" s="124"/>
      <c r="F111" s="125"/>
      <c r="G111" s="8"/>
      <c r="H111" s="8"/>
      <c r="I111" s="8"/>
    </row>
    <row r="112" spans="2:9" s="13" customFormat="1" ht="15">
      <c r="B112" s="115"/>
      <c r="C112" s="11">
        <v>80107</v>
      </c>
      <c r="D112" s="123">
        <f>10628.61+0.29+54401.25+3668.79</f>
        <v>68698.94</v>
      </c>
      <c r="E112" s="124"/>
      <c r="F112" s="125"/>
      <c r="G112" s="8"/>
      <c r="H112" s="8"/>
      <c r="I112" s="8"/>
    </row>
    <row r="113" spans="2:9" s="13" customFormat="1" ht="15">
      <c r="B113" s="115"/>
      <c r="C113" s="11">
        <v>80148</v>
      </c>
      <c r="D113" s="123">
        <f>40160.18+3212.6+7318.34+1003.17+1500+127.5</f>
        <v>53321.78999999999</v>
      </c>
      <c r="E113" s="124"/>
      <c r="F113" s="125"/>
      <c r="G113" s="8"/>
      <c r="H113" s="8"/>
      <c r="I113" s="8"/>
    </row>
    <row r="114" spans="2:9" s="13" customFormat="1" ht="15">
      <c r="B114" s="115"/>
      <c r="C114" s="11">
        <v>80149</v>
      </c>
      <c r="D114" s="123">
        <f>4.28</f>
        <v>4.28</v>
      </c>
      <c r="E114" s="124"/>
      <c r="F114" s="125"/>
      <c r="G114" s="8"/>
      <c r="H114" s="8"/>
      <c r="I114" s="8"/>
    </row>
    <row r="115" spans="2:9" s="13" customFormat="1" ht="15.75" thickBot="1">
      <c r="B115" s="115"/>
      <c r="C115" s="11">
        <v>80150</v>
      </c>
      <c r="D115" s="123">
        <f>6321+4570.4+299.14+18069.54+2506.24</f>
        <v>31766.32</v>
      </c>
      <c r="E115" s="124"/>
      <c r="F115" s="125"/>
      <c r="G115" s="8"/>
      <c r="H115" s="8"/>
      <c r="I115" s="8"/>
    </row>
    <row r="116" spans="2:9" s="13" customFormat="1" ht="15.75" customHeight="1" thickBot="1">
      <c r="B116" s="138" t="s">
        <v>10</v>
      </c>
      <c r="C116" s="139"/>
      <c r="D116" s="120">
        <f>SUM(D110:F115)</f>
        <v>1846031.8200000003</v>
      </c>
      <c r="E116" s="136"/>
      <c r="F116" s="155"/>
      <c r="G116" s="8"/>
      <c r="H116" s="12"/>
      <c r="I116" s="8"/>
    </row>
    <row r="117" spans="2:9" s="13" customFormat="1" ht="13.5" customHeight="1">
      <c r="B117" s="15" t="s">
        <v>5</v>
      </c>
      <c r="C117" s="15" t="s">
        <v>6</v>
      </c>
      <c r="D117" s="112" t="s">
        <v>12</v>
      </c>
      <c r="E117" s="140"/>
      <c r="F117" s="141"/>
      <c r="G117" s="8"/>
      <c r="H117" s="12"/>
      <c r="I117" s="8"/>
    </row>
    <row r="118" spans="2:9" s="13" customFormat="1" ht="15">
      <c r="B118" s="110" t="str">
        <f>B52</f>
        <v>3. SP Kłucko</v>
      </c>
      <c r="C118" s="11">
        <v>80101</v>
      </c>
      <c r="D118" s="123">
        <f>113630.29+11358.69+211243.82+18020.26+1005582.56+74971.04</f>
        <v>1434806.6600000001</v>
      </c>
      <c r="E118" s="124"/>
      <c r="F118" s="125"/>
      <c r="G118" s="8"/>
      <c r="H118" s="12"/>
      <c r="I118" s="8"/>
    </row>
    <row r="119" spans="2:9" s="13" customFormat="1" ht="15">
      <c r="B119" s="115"/>
      <c r="C119" s="11">
        <v>80103</v>
      </c>
      <c r="D119" s="123">
        <f>33094.99+2352.3+20676.96+898.04+74695.81+5855.74</f>
        <v>137573.84</v>
      </c>
      <c r="E119" s="124"/>
      <c r="F119" s="125"/>
      <c r="G119" s="8"/>
      <c r="H119" s="8"/>
      <c r="I119" s="8"/>
    </row>
    <row r="120" spans="2:9" s="13" customFormat="1" ht="15">
      <c r="B120" s="115"/>
      <c r="C120" s="11">
        <v>80107</v>
      </c>
      <c r="D120" s="123">
        <f>11603.63+1662.43+59611.78+4051.32</f>
        <v>76929.16</v>
      </c>
      <c r="E120" s="124"/>
      <c r="F120" s="125"/>
      <c r="G120" s="8"/>
      <c r="H120" s="8"/>
      <c r="I120" s="8"/>
    </row>
    <row r="121" spans="2:9" s="13" customFormat="1" ht="15">
      <c r="B121" s="115"/>
      <c r="C121" s="11">
        <v>80148</v>
      </c>
      <c r="D121" s="123">
        <f>40478.22+3374.84+7137.64+628.38</f>
        <v>51619.079999999994</v>
      </c>
      <c r="E121" s="124"/>
      <c r="F121" s="125"/>
      <c r="G121" s="8"/>
      <c r="H121" s="8"/>
      <c r="I121" s="8"/>
    </row>
    <row r="122" spans="2:9" s="13" customFormat="1" ht="15">
      <c r="B122" s="115"/>
      <c r="C122" s="11">
        <v>80149</v>
      </c>
      <c r="D122" s="123">
        <v>259.03</v>
      </c>
      <c r="E122" s="124"/>
      <c r="F122" s="125"/>
      <c r="G122" s="8"/>
      <c r="H122" s="8"/>
      <c r="I122" s="8"/>
    </row>
    <row r="123" spans="2:9" s="13" customFormat="1" ht="15.75" thickBot="1">
      <c r="B123" s="115"/>
      <c r="C123" s="11">
        <v>80150</v>
      </c>
      <c r="D123" s="123">
        <f>2057.85+294.84+10669.86+645.41</f>
        <v>13667.960000000001</v>
      </c>
      <c r="E123" s="124"/>
      <c r="F123" s="125"/>
      <c r="G123" s="8"/>
      <c r="H123" s="8"/>
      <c r="I123" s="8"/>
    </row>
    <row r="124" spans="2:9" s="13" customFormat="1" ht="16.5" customHeight="1" thickBot="1">
      <c r="B124" s="138" t="s">
        <v>10</v>
      </c>
      <c r="C124" s="139"/>
      <c r="D124" s="120">
        <f>SUM(D118:F123)</f>
        <v>1714855.7300000002</v>
      </c>
      <c r="E124" s="136"/>
      <c r="F124" s="155"/>
      <c r="G124" s="8"/>
      <c r="H124" s="8"/>
      <c r="I124" s="8"/>
    </row>
    <row r="125" spans="2:9" s="13" customFormat="1" ht="15">
      <c r="B125" s="15" t="s">
        <v>5</v>
      </c>
      <c r="C125" s="15" t="s">
        <v>6</v>
      </c>
      <c r="D125" s="112" t="s">
        <v>12</v>
      </c>
      <c r="E125" s="140"/>
      <c r="F125" s="141"/>
      <c r="G125" s="8"/>
      <c r="H125" s="8"/>
      <c r="I125" s="8"/>
    </row>
    <row r="126" spans="2:9" s="13" customFormat="1" ht="15">
      <c r="B126" s="110" t="str">
        <f>B62</f>
        <v>4. SP Radoszyce </v>
      </c>
      <c r="C126" s="11">
        <v>80101</v>
      </c>
      <c r="D126" s="123">
        <f>318312.75+26463.52+483072.98+36193.29+2250856.51+176490.01</f>
        <v>3291389.0599999996</v>
      </c>
      <c r="E126" s="124"/>
      <c r="F126" s="125"/>
      <c r="G126" s="8"/>
      <c r="H126" s="8"/>
      <c r="I126" s="8"/>
    </row>
    <row r="127" spans="2:9" s="13" customFormat="1" ht="15">
      <c r="B127" s="115"/>
      <c r="C127" s="11">
        <v>80107</v>
      </c>
      <c r="D127" s="123">
        <f>25386.16+2343.82+140523.26+8960.47</f>
        <v>177213.71000000002</v>
      </c>
      <c r="E127" s="124"/>
      <c r="F127" s="125"/>
      <c r="G127" s="8"/>
      <c r="H127" s="8"/>
      <c r="I127" s="8"/>
    </row>
    <row r="128" spans="2:9" s="13" customFormat="1" ht="15">
      <c r="B128" s="115"/>
      <c r="C128" s="11">
        <v>80148</v>
      </c>
      <c r="D128" s="123">
        <f>120695.77+10562.12+20915.54+2958.42</f>
        <v>155131.85000000003</v>
      </c>
      <c r="E128" s="124"/>
      <c r="F128" s="125"/>
      <c r="G128" s="8"/>
      <c r="H128" s="8"/>
      <c r="I128" s="8"/>
    </row>
    <row r="129" spans="2:9" s="13" customFormat="1" ht="15">
      <c r="B129" s="179"/>
      <c r="C129" s="11">
        <v>80150</v>
      </c>
      <c r="D129" s="123">
        <f>19790.75+32308.4+2644.98+152351.83+12324.27</f>
        <v>219420.22999999998</v>
      </c>
      <c r="E129" s="124"/>
      <c r="F129" s="125"/>
      <c r="G129" s="8"/>
      <c r="H129" s="8"/>
      <c r="I129" s="8"/>
    </row>
    <row r="130" spans="2:9" s="13" customFormat="1" ht="15.75" thickBot="1">
      <c r="B130" s="10"/>
      <c r="C130" s="35">
        <v>80195</v>
      </c>
      <c r="D130" s="144">
        <v>261</v>
      </c>
      <c r="E130" s="145"/>
      <c r="F130" s="146"/>
      <c r="G130" s="8"/>
      <c r="H130" s="8"/>
      <c r="I130" s="8"/>
    </row>
    <row r="131" spans="2:9" s="13" customFormat="1" ht="16.5" customHeight="1" thickBot="1">
      <c r="B131" s="138" t="s">
        <v>10</v>
      </c>
      <c r="C131" s="139"/>
      <c r="D131" s="120">
        <f>SUM(D126:F130)</f>
        <v>3843415.8499999996</v>
      </c>
      <c r="E131" s="136"/>
      <c r="F131" s="137"/>
      <c r="G131" s="8"/>
      <c r="H131" s="8"/>
      <c r="I131" s="8"/>
    </row>
    <row r="132" spans="2:9" s="13" customFormat="1" ht="15">
      <c r="B132" s="34" t="s">
        <v>5</v>
      </c>
      <c r="C132" s="15" t="s">
        <v>6</v>
      </c>
      <c r="D132" s="112" t="s">
        <v>12</v>
      </c>
      <c r="E132" s="140"/>
      <c r="F132" s="141"/>
      <c r="G132" s="8"/>
      <c r="H132" s="8"/>
      <c r="I132" s="8"/>
    </row>
    <row r="133" spans="2:9" s="13" customFormat="1" ht="15">
      <c r="B133" s="161" t="str">
        <f>B70</f>
        <v>5. Samorządowe Przedszkole </v>
      </c>
      <c r="C133" s="36">
        <v>80104</v>
      </c>
      <c r="D133" s="123">
        <f>292045.43+24564.6+190226.01+21844.88+737648.01+50222.77</f>
        <v>1316551.7</v>
      </c>
      <c r="E133" s="124"/>
      <c r="F133" s="125"/>
      <c r="G133" s="8"/>
      <c r="H133" s="8"/>
      <c r="I133" s="8"/>
    </row>
    <row r="134" spans="2:9" s="13" customFormat="1" ht="15">
      <c r="B134" s="161"/>
      <c r="C134" s="36">
        <v>80148</v>
      </c>
      <c r="D134" s="123">
        <f>102925.16+8648.53+18759.65+2466.57</f>
        <v>132799.91</v>
      </c>
      <c r="E134" s="124"/>
      <c r="F134" s="125"/>
      <c r="G134" s="8"/>
      <c r="H134" s="8"/>
      <c r="I134" s="8"/>
    </row>
    <row r="135" spans="2:9" s="13" customFormat="1" ht="15">
      <c r="B135" s="161"/>
      <c r="C135" s="36">
        <v>80149</v>
      </c>
      <c r="D135" s="123">
        <f>18041.21+2879.8+6536.38+936.53+14114.51+5324.62</f>
        <v>47833.05</v>
      </c>
      <c r="E135" s="124"/>
      <c r="F135" s="125"/>
      <c r="G135" s="8"/>
      <c r="H135" s="8"/>
      <c r="I135" s="8"/>
    </row>
    <row r="136" spans="2:9" s="13" customFormat="1" ht="15" customHeight="1" thickBot="1">
      <c r="B136" s="162"/>
      <c r="C136" s="70">
        <v>85404</v>
      </c>
      <c r="D136" s="144">
        <f>1593.44+228.32+8222.75+528.07</f>
        <v>10572.58</v>
      </c>
      <c r="E136" s="145"/>
      <c r="F136" s="146"/>
      <c r="G136" s="8"/>
      <c r="H136" s="8"/>
      <c r="I136" s="8"/>
    </row>
    <row r="137" spans="2:9" s="13" customFormat="1" ht="15.75" customHeight="1" thickBot="1">
      <c r="B137" s="138" t="s">
        <v>10</v>
      </c>
      <c r="C137" s="139"/>
      <c r="D137" s="120">
        <f>SUM(D133:F136)</f>
        <v>1507757.24</v>
      </c>
      <c r="E137" s="136"/>
      <c r="F137" s="137"/>
      <c r="G137" s="8"/>
      <c r="H137" s="8"/>
      <c r="I137" s="8"/>
    </row>
    <row r="138" spans="2:9" s="13" customFormat="1" ht="13.5" customHeight="1">
      <c r="B138" s="47" t="s">
        <v>5</v>
      </c>
      <c r="C138" s="48" t="s">
        <v>6</v>
      </c>
      <c r="D138" s="131" t="s">
        <v>12</v>
      </c>
      <c r="E138" s="142"/>
      <c r="F138" s="143"/>
      <c r="G138" s="8"/>
      <c r="H138" s="8"/>
      <c r="I138" s="12"/>
    </row>
    <row r="139" spans="2:9" s="13" customFormat="1" ht="15">
      <c r="B139" s="153" t="str">
        <f>B78</f>
        <v>6. SP Wilczkowice</v>
      </c>
      <c r="C139" s="36">
        <v>80101</v>
      </c>
      <c r="D139" s="123">
        <f>143483.4+9384.03+214157.55+21943.35+1054837.71+75630.28</f>
        <v>1519436.32</v>
      </c>
      <c r="E139" s="124"/>
      <c r="F139" s="125"/>
      <c r="G139" s="8"/>
      <c r="H139" s="8"/>
      <c r="I139" s="8"/>
    </row>
    <row r="140" spans="2:9" s="13" customFormat="1" ht="15">
      <c r="B140" s="153"/>
      <c r="C140" s="36">
        <v>80103</v>
      </c>
      <c r="D140" s="123">
        <f>13693.87+767.28+127149.48+4686.57</f>
        <v>146297.2</v>
      </c>
      <c r="E140" s="124"/>
      <c r="F140" s="125"/>
      <c r="G140" s="8"/>
      <c r="H140" s="8"/>
      <c r="I140" s="12"/>
    </row>
    <row r="141" spans="2:9" s="13" customFormat="1" ht="15">
      <c r="B141" s="153"/>
      <c r="C141" s="36">
        <v>80107</v>
      </c>
      <c r="D141" s="123">
        <f>12257.06+1185.74+64940.81+5073.7</f>
        <v>83457.31</v>
      </c>
      <c r="E141" s="124"/>
      <c r="F141" s="125"/>
      <c r="G141" s="8"/>
      <c r="H141" s="8"/>
      <c r="I141" s="12"/>
    </row>
    <row r="142" spans="2:9" s="13" customFormat="1" ht="15">
      <c r="B142" s="153"/>
      <c r="C142" s="36">
        <v>80148</v>
      </c>
      <c r="D142" s="123">
        <f>43478.05+3629.5+7781.78</f>
        <v>54889.33</v>
      </c>
      <c r="E142" s="124"/>
      <c r="F142" s="125"/>
      <c r="G142" s="8"/>
      <c r="H142" s="8"/>
      <c r="I142" s="8"/>
    </row>
    <row r="143" spans="2:9" s="13" customFormat="1" ht="15">
      <c r="B143" s="153"/>
      <c r="C143" s="36">
        <v>80149</v>
      </c>
      <c r="D143" s="123">
        <v>56.6</v>
      </c>
      <c r="E143" s="124"/>
      <c r="F143" s="125"/>
      <c r="G143" s="8"/>
      <c r="H143" s="8"/>
      <c r="I143" s="8"/>
    </row>
    <row r="144" spans="2:9" s="13" customFormat="1" ht="15">
      <c r="B144" s="153"/>
      <c r="C144" s="36">
        <v>80150</v>
      </c>
      <c r="D144" s="123">
        <f>17157+6002.5+860.05+15110.7+1782.62</f>
        <v>40912.87</v>
      </c>
      <c r="E144" s="124"/>
      <c r="F144" s="125"/>
      <c r="G144" s="8"/>
      <c r="H144" s="8"/>
      <c r="I144" s="8"/>
    </row>
    <row r="145" spans="2:9" s="13" customFormat="1" ht="15.75" thickBot="1">
      <c r="B145" s="154"/>
      <c r="C145" s="37">
        <v>85404</v>
      </c>
      <c r="D145" s="144">
        <f>1363.07+70.52+8109.83+489.44</f>
        <v>10032.86</v>
      </c>
      <c r="E145" s="145"/>
      <c r="F145" s="146"/>
      <c r="G145" s="8"/>
      <c r="H145" s="8"/>
      <c r="I145" s="8"/>
    </row>
    <row r="146" spans="2:9" s="13" customFormat="1" ht="14.25" customHeight="1" thickBot="1">
      <c r="B146" s="138" t="s">
        <v>10</v>
      </c>
      <c r="C146" s="139"/>
      <c r="D146" s="120">
        <f>SUM(D139:F145)</f>
        <v>1855082.4900000005</v>
      </c>
      <c r="E146" s="136"/>
      <c r="F146" s="137"/>
      <c r="G146" s="8"/>
      <c r="H146" s="12"/>
      <c r="I146" s="8"/>
    </row>
    <row r="147" spans="2:9" s="13" customFormat="1" ht="15">
      <c r="B147" s="15" t="s">
        <v>5</v>
      </c>
      <c r="C147" s="15" t="s">
        <v>6</v>
      </c>
      <c r="D147" s="112" t="s">
        <v>12</v>
      </c>
      <c r="E147" s="140"/>
      <c r="F147" s="141"/>
      <c r="G147" s="8"/>
      <c r="H147" s="8"/>
      <c r="I147" s="8"/>
    </row>
    <row r="148" spans="2:9" s="13" customFormat="1" ht="15.75" thickBot="1">
      <c r="B148" s="110" t="str">
        <f>B90</f>
        <v>7. CUW Radoszyce </v>
      </c>
      <c r="C148" s="11">
        <v>75085</v>
      </c>
      <c r="D148" s="123">
        <f>492936.74+33616.82+85772.56+9573.44</f>
        <v>621899.5599999998</v>
      </c>
      <c r="E148" s="152"/>
      <c r="F148" s="130"/>
      <c r="G148" s="8"/>
      <c r="H148" s="12"/>
      <c r="I148" s="8"/>
    </row>
    <row r="149" spans="2:9" s="13" customFormat="1" ht="15.75" thickBot="1">
      <c r="B149" s="115"/>
      <c r="C149" s="11">
        <v>80113</v>
      </c>
      <c r="D149" s="132">
        <f>225583.1+17982.83+37466.61+3634.06</f>
        <v>284666.6</v>
      </c>
      <c r="E149" s="133"/>
      <c r="F149" s="133"/>
      <c r="G149" s="8"/>
      <c r="H149" s="8"/>
      <c r="I149" s="8"/>
    </row>
    <row r="150" spans="2:9" s="13" customFormat="1" ht="15.75" thickBot="1">
      <c r="B150" s="150" t="s">
        <v>10</v>
      </c>
      <c r="C150" s="151"/>
      <c r="D150" s="134">
        <f>SUM(D148:F149)</f>
        <v>906566.1599999998</v>
      </c>
      <c r="E150" s="135"/>
      <c r="F150" s="135"/>
      <c r="G150" s="8"/>
      <c r="H150" s="8"/>
      <c r="I150" s="8"/>
    </row>
    <row r="151" spans="2:9" s="13" customFormat="1" ht="15.75" thickBot="1">
      <c r="B151" s="38" t="str">
        <f>B96</f>
        <v>OGÓŁEM</v>
      </c>
      <c r="C151" s="39"/>
      <c r="D151" s="120">
        <f>D150+D146+D137+D131+D124+D116+D108</f>
        <v>13399934.06</v>
      </c>
      <c r="E151" s="121"/>
      <c r="F151" s="122"/>
      <c r="G151" s="8"/>
      <c r="H151" s="147"/>
      <c r="I151" s="148"/>
    </row>
    <row r="152" spans="2:9" s="13" customFormat="1" ht="15">
      <c r="B152" s="8"/>
      <c r="C152" s="8"/>
      <c r="D152" s="8"/>
      <c r="E152" s="8"/>
      <c r="F152" s="8"/>
      <c r="G152" s="8"/>
      <c r="H152" s="8"/>
      <c r="I152" s="8"/>
    </row>
    <row r="153" spans="2:9" s="13" customFormat="1" ht="15">
      <c r="B153" s="10" t="s">
        <v>63</v>
      </c>
      <c r="C153" s="8"/>
      <c r="D153" s="8"/>
      <c r="E153" s="8"/>
      <c r="F153" s="8"/>
      <c r="G153" s="8"/>
      <c r="H153" s="8"/>
      <c r="I153" s="8"/>
    </row>
    <row r="154" spans="2:9" s="13" customFormat="1" ht="15">
      <c r="B154" s="10"/>
      <c r="C154" s="8"/>
      <c r="D154" s="8"/>
      <c r="E154" s="8"/>
      <c r="F154" s="8"/>
      <c r="G154" s="8"/>
      <c r="H154" s="8"/>
      <c r="I154" s="8"/>
    </row>
    <row r="155" spans="2:9" s="13" customFormat="1" ht="15">
      <c r="B155" s="15" t="s">
        <v>5</v>
      </c>
      <c r="C155" s="15" t="s">
        <v>6</v>
      </c>
      <c r="D155" s="15" t="s">
        <v>12</v>
      </c>
      <c r="E155" s="8"/>
      <c r="F155" s="8"/>
      <c r="G155" s="8"/>
      <c r="H155" s="8"/>
      <c r="I155" s="8"/>
    </row>
    <row r="156" spans="2:9" s="13" customFormat="1" ht="15">
      <c r="B156" s="16" t="s">
        <v>16</v>
      </c>
      <c r="C156" s="11">
        <v>80101</v>
      </c>
      <c r="D156" s="17">
        <v>0</v>
      </c>
      <c r="E156" s="8"/>
      <c r="F156" s="8"/>
      <c r="G156" s="8"/>
      <c r="H156" s="8"/>
      <c r="I156" s="8"/>
    </row>
    <row r="157" spans="2:9" s="13" customFormat="1" ht="15">
      <c r="B157" s="16" t="s">
        <v>64</v>
      </c>
      <c r="C157" s="11">
        <v>80101</v>
      </c>
      <c r="D157" s="17">
        <v>4200</v>
      </c>
      <c r="E157" s="8"/>
      <c r="F157" s="8"/>
      <c r="G157" s="8"/>
      <c r="H157" s="8"/>
      <c r="I157" s="8"/>
    </row>
    <row r="158" spans="2:9" s="13" customFormat="1" ht="15">
      <c r="B158" s="16" t="s">
        <v>65</v>
      </c>
      <c r="C158" s="11">
        <f>C157</f>
        <v>80101</v>
      </c>
      <c r="D158" s="17">
        <v>0</v>
      </c>
      <c r="E158" s="8"/>
      <c r="F158" s="8"/>
      <c r="G158" s="8"/>
      <c r="H158" s="8"/>
      <c r="I158" s="8"/>
    </row>
    <row r="159" spans="2:9" s="13" customFormat="1" ht="15">
      <c r="B159" s="16" t="s">
        <v>66</v>
      </c>
      <c r="C159" s="11">
        <v>80101</v>
      </c>
      <c r="D159" s="17">
        <v>0</v>
      </c>
      <c r="E159" s="8"/>
      <c r="F159" s="8"/>
      <c r="G159" s="8"/>
      <c r="H159" s="8"/>
      <c r="I159" s="8"/>
    </row>
    <row r="160" spans="2:9" s="13" customFormat="1" ht="30">
      <c r="B160" s="80" t="s">
        <v>79</v>
      </c>
      <c r="C160" s="11">
        <v>80104</v>
      </c>
      <c r="D160" s="17">
        <v>1500</v>
      </c>
      <c r="E160" s="8"/>
      <c r="F160" s="8"/>
      <c r="G160" s="8"/>
      <c r="H160" s="8"/>
      <c r="I160" s="8"/>
    </row>
    <row r="161" spans="2:9" s="13" customFormat="1" ht="15.75" customHeight="1">
      <c r="B161" s="16" t="s">
        <v>80</v>
      </c>
      <c r="C161" s="11">
        <v>80101</v>
      </c>
      <c r="D161" s="17">
        <v>0</v>
      </c>
      <c r="E161" s="8"/>
      <c r="F161" s="8"/>
      <c r="G161" s="8"/>
      <c r="H161" s="8"/>
      <c r="I161" s="8"/>
    </row>
    <row r="162" spans="2:9" s="13" customFormat="1" ht="15">
      <c r="B162" s="16" t="s">
        <v>76</v>
      </c>
      <c r="C162" s="11">
        <v>75085</v>
      </c>
      <c r="D162" s="17">
        <v>2950</v>
      </c>
      <c r="E162" s="8"/>
      <c r="F162" s="8"/>
      <c r="G162" s="8"/>
      <c r="H162" s="8"/>
      <c r="I162" s="8"/>
    </row>
    <row r="163" spans="2:9" s="13" customFormat="1" ht="15">
      <c r="B163" s="16" t="s">
        <v>14</v>
      </c>
      <c r="C163" s="16"/>
      <c r="D163" s="18">
        <f>SUM(D156:D162)</f>
        <v>8650</v>
      </c>
      <c r="E163" s="8"/>
      <c r="F163" s="8"/>
      <c r="G163" s="8"/>
      <c r="H163" s="8"/>
      <c r="I163" s="8"/>
    </row>
    <row r="164" spans="2:9" s="13" customFormat="1" ht="15">
      <c r="B164" s="8"/>
      <c r="C164" s="8"/>
      <c r="D164" s="8"/>
      <c r="E164" s="8"/>
      <c r="F164" s="8"/>
      <c r="G164" s="8"/>
      <c r="H164" s="8"/>
      <c r="I164" s="8"/>
    </row>
    <row r="165" spans="2:9" s="13" customFormat="1" ht="10.5" customHeight="1">
      <c r="B165" s="10"/>
      <c r="C165" s="10"/>
      <c r="D165" s="19"/>
      <c r="E165" s="8"/>
      <c r="F165" s="8"/>
      <c r="G165" s="8"/>
      <c r="H165" s="8"/>
      <c r="I165" s="8"/>
    </row>
    <row r="166" spans="2:9" s="13" customFormat="1" ht="15">
      <c r="B166" s="10" t="s">
        <v>71</v>
      </c>
      <c r="C166" s="8"/>
      <c r="D166" s="8"/>
      <c r="E166" s="8"/>
      <c r="F166" s="8"/>
      <c r="G166" s="8"/>
      <c r="H166" s="8"/>
      <c r="I166" s="8"/>
    </row>
    <row r="167" spans="2:9" s="13" customFormat="1" ht="20.25" customHeight="1">
      <c r="B167" s="10"/>
      <c r="C167" s="8"/>
      <c r="D167" s="8"/>
      <c r="E167" s="8"/>
      <c r="F167" s="8"/>
      <c r="G167" s="8"/>
      <c r="H167" s="8"/>
      <c r="I167" s="8"/>
    </row>
    <row r="168" spans="2:9" s="13" customFormat="1" ht="15">
      <c r="B168" s="15" t="s">
        <v>5</v>
      </c>
      <c r="C168" s="15" t="s">
        <v>6</v>
      </c>
      <c r="D168" s="15" t="s">
        <v>12</v>
      </c>
      <c r="E168" s="8"/>
      <c r="F168" s="8"/>
      <c r="G168" s="8"/>
      <c r="H168" s="8"/>
      <c r="I168" s="8"/>
    </row>
    <row r="169" spans="2:9" s="13" customFormat="1" ht="15">
      <c r="B169" s="110" t="s">
        <v>21</v>
      </c>
      <c r="C169" s="11">
        <v>80101</v>
      </c>
      <c r="D169" s="17">
        <v>59598.39</v>
      </c>
      <c r="E169" s="8"/>
      <c r="F169" s="8"/>
      <c r="G169" s="8"/>
      <c r="H169" s="8"/>
      <c r="I169" s="8"/>
    </row>
    <row r="170" spans="2:9" s="13" customFormat="1" ht="15">
      <c r="B170" s="111"/>
      <c r="C170" s="11">
        <v>80103</v>
      </c>
      <c r="D170" s="17">
        <v>5346.24</v>
      </c>
      <c r="E170" s="8"/>
      <c r="F170" s="8"/>
      <c r="G170" s="8"/>
      <c r="H170" s="8"/>
      <c r="I170" s="8"/>
    </row>
    <row r="171" spans="2:9" s="13" customFormat="1" ht="15">
      <c r="B171" s="111"/>
      <c r="C171" s="11">
        <v>80107</v>
      </c>
      <c r="D171" s="17">
        <v>3774.46</v>
      </c>
      <c r="E171" s="8"/>
      <c r="F171" s="8"/>
      <c r="G171" s="8"/>
      <c r="H171" s="8"/>
      <c r="I171" s="8"/>
    </row>
    <row r="172" spans="2:9" s="13" customFormat="1" ht="15">
      <c r="B172" s="111"/>
      <c r="C172" s="11">
        <v>80148</v>
      </c>
      <c r="D172" s="17">
        <v>257.8</v>
      </c>
      <c r="E172" s="8"/>
      <c r="F172" s="8"/>
      <c r="G172" s="8"/>
      <c r="H172" s="8"/>
      <c r="I172" s="8"/>
    </row>
    <row r="173" spans="2:9" s="13" customFormat="1" ht="15">
      <c r="B173" s="111"/>
      <c r="C173" s="11">
        <v>80150</v>
      </c>
      <c r="D173" s="17">
        <v>6805.26</v>
      </c>
      <c r="E173" s="8"/>
      <c r="F173" s="8"/>
      <c r="G173" s="8"/>
      <c r="H173" s="8"/>
      <c r="I173" s="8"/>
    </row>
    <row r="174" spans="2:9" s="13" customFormat="1" ht="15">
      <c r="B174" s="112" t="s">
        <v>10</v>
      </c>
      <c r="C174" s="130"/>
      <c r="D174" s="18">
        <f>SUM(D169:D173)</f>
        <v>75782.15</v>
      </c>
      <c r="E174" s="8"/>
      <c r="F174" s="8"/>
      <c r="G174" s="8"/>
      <c r="H174" s="8"/>
      <c r="I174" s="8"/>
    </row>
    <row r="175" spans="2:9" s="13" customFormat="1" ht="15">
      <c r="B175" s="110" t="str">
        <f>B110</f>
        <v>2. SP Kapałów</v>
      </c>
      <c r="C175" s="11">
        <v>80101</v>
      </c>
      <c r="D175" s="17">
        <v>80444.88</v>
      </c>
      <c r="E175" s="8"/>
      <c r="F175" s="8"/>
      <c r="G175" s="8"/>
      <c r="H175" s="8"/>
      <c r="I175" s="8"/>
    </row>
    <row r="176" spans="2:9" s="13" customFormat="1" ht="15">
      <c r="B176" s="111"/>
      <c r="C176" s="11">
        <v>80103</v>
      </c>
      <c r="D176" s="17">
        <v>4134.93</v>
      </c>
      <c r="E176" s="8"/>
      <c r="F176" s="8"/>
      <c r="G176" s="8"/>
      <c r="H176" s="8"/>
      <c r="I176" s="8"/>
    </row>
    <row r="177" spans="2:9" s="13" customFormat="1" ht="15">
      <c r="B177" s="111"/>
      <c r="C177" s="11">
        <v>80107</v>
      </c>
      <c r="D177" s="17">
        <v>3857.47</v>
      </c>
      <c r="E177" s="8"/>
      <c r="F177" s="8"/>
      <c r="G177" s="8"/>
      <c r="H177" s="8"/>
      <c r="I177" s="8"/>
    </row>
    <row r="178" spans="2:9" s="13" customFormat="1" ht="15">
      <c r="B178" s="111"/>
      <c r="C178" s="11">
        <v>80148</v>
      </c>
      <c r="D178" s="17">
        <v>458.6</v>
      </c>
      <c r="E178" s="8"/>
      <c r="F178" s="8"/>
      <c r="G178" s="8"/>
      <c r="H178" s="8"/>
      <c r="I178" s="8"/>
    </row>
    <row r="179" spans="2:9" s="13" customFormat="1" ht="15">
      <c r="B179" s="111"/>
      <c r="C179" s="11">
        <v>80149</v>
      </c>
      <c r="D179" s="17">
        <v>0</v>
      </c>
      <c r="E179" s="8"/>
      <c r="F179" s="8"/>
      <c r="G179" s="8"/>
      <c r="H179" s="8"/>
      <c r="I179" s="8"/>
    </row>
    <row r="180" spans="2:9" s="13" customFormat="1" ht="15">
      <c r="B180" s="111"/>
      <c r="C180" s="11">
        <v>80150</v>
      </c>
      <c r="D180" s="17">
        <v>1205.24</v>
      </c>
      <c r="E180" s="8"/>
      <c r="F180" s="8"/>
      <c r="G180" s="8"/>
      <c r="H180" s="8"/>
      <c r="I180" s="8"/>
    </row>
    <row r="181" spans="2:9" s="13" customFormat="1" ht="15">
      <c r="B181" s="112" t="s">
        <v>10</v>
      </c>
      <c r="C181" s="141"/>
      <c r="D181" s="18">
        <f>SUM(D175:D180)</f>
        <v>90101.12000000001</v>
      </c>
      <c r="E181" s="8"/>
      <c r="F181" s="8"/>
      <c r="G181" s="8"/>
      <c r="H181" s="8"/>
      <c r="I181" s="8"/>
    </row>
    <row r="182" spans="2:9" s="13" customFormat="1" ht="15">
      <c r="B182" s="110" t="str">
        <f>B118</f>
        <v>3. SP Kłucko</v>
      </c>
      <c r="C182" s="11">
        <f>C175</f>
        <v>80101</v>
      </c>
      <c r="D182" s="17">
        <v>68565.04</v>
      </c>
      <c r="E182" s="8"/>
      <c r="F182" s="8"/>
      <c r="G182" s="8"/>
      <c r="H182" s="8"/>
      <c r="I182" s="8"/>
    </row>
    <row r="183" spans="2:9" s="13" customFormat="1" ht="15">
      <c r="B183" s="111"/>
      <c r="C183" s="11">
        <v>80103</v>
      </c>
      <c r="D183" s="17">
        <v>5191.12</v>
      </c>
      <c r="E183" s="8"/>
      <c r="F183" s="8"/>
      <c r="G183" s="8"/>
      <c r="H183" s="8"/>
      <c r="I183" s="8"/>
    </row>
    <row r="184" spans="2:9" s="13" customFormat="1" ht="15">
      <c r="B184" s="111"/>
      <c r="C184" s="11">
        <v>80107</v>
      </c>
      <c r="D184" s="17">
        <v>4416.46</v>
      </c>
      <c r="E184" s="8"/>
      <c r="F184" s="8"/>
      <c r="G184" s="8"/>
      <c r="H184" s="8"/>
      <c r="I184" s="8"/>
    </row>
    <row r="185" spans="2:9" s="13" customFormat="1" ht="15">
      <c r="B185" s="111"/>
      <c r="C185" s="11">
        <v>80148</v>
      </c>
      <c r="D185" s="17">
        <v>370.5</v>
      </c>
      <c r="E185" s="8"/>
      <c r="F185" s="8"/>
      <c r="G185" s="8"/>
      <c r="H185" s="8"/>
      <c r="I185" s="8"/>
    </row>
    <row r="186" spans="2:9" s="13" customFormat="1" ht="15">
      <c r="B186" s="111"/>
      <c r="C186" s="11">
        <v>80150</v>
      </c>
      <c r="D186" s="17">
        <v>777.4</v>
      </c>
      <c r="E186" s="8"/>
      <c r="F186" s="8"/>
      <c r="G186" s="8"/>
      <c r="H186" s="8"/>
      <c r="I186" s="8"/>
    </row>
    <row r="187" spans="2:9" s="13" customFormat="1" ht="15">
      <c r="B187" s="112" t="str">
        <f>B181</f>
        <v>Razem</v>
      </c>
      <c r="C187" s="113"/>
      <c r="D187" s="18">
        <f>SUM(D182:D186)</f>
        <v>79320.51999999999</v>
      </c>
      <c r="E187" s="8"/>
      <c r="F187" s="8"/>
      <c r="G187" s="8"/>
      <c r="H187" s="8"/>
      <c r="I187" s="8"/>
    </row>
    <row r="188" spans="2:9" s="13" customFormat="1" ht="30.75" customHeight="1">
      <c r="B188" s="16" t="str">
        <f>B126</f>
        <v>4. SP Radoszyce </v>
      </c>
      <c r="C188" s="11">
        <v>80101</v>
      </c>
      <c r="D188" s="17">
        <v>161059.3</v>
      </c>
      <c r="E188" s="8"/>
      <c r="F188" s="8"/>
      <c r="G188" s="8"/>
      <c r="H188" s="8"/>
      <c r="I188" s="8"/>
    </row>
    <row r="189" spans="2:9" s="13" customFormat="1" ht="30.75" customHeight="1">
      <c r="B189" s="52"/>
      <c r="C189" s="11">
        <v>80107</v>
      </c>
      <c r="D189" s="17">
        <v>10893.41</v>
      </c>
      <c r="E189" s="8"/>
      <c r="F189" s="8"/>
      <c r="G189" s="8"/>
      <c r="H189" s="8"/>
      <c r="I189" s="8"/>
    </row>
    <row r="190" spans="2:9" s="13" customFormat="1" ht="16.5" customHeight="1">
      <c r="B190" s="52"/>
      <c r="C190" s="11">
        <v>80148</v>
      </c>
      <c r="D190" s="17">
        <v>1307.62</v>
      </c>
      <c r="E190" s="8"/>
      <c r="F190" s="8"/>
      <c r="G190" s="8"/>
      <c r="H190" s="8"/>
      <c r="I190" s="8"/>
    </row>
    <row r="191" spans="2:9" s="13" customFormat="1" ht="17.25" customHeight="1">
      <c r="B191" s="52"/>
      <c r="C191" s="11">
        <v>80150</v>
      </c>
      <c r="D191" s="17">
        <v>8909</v>
      </c>
      <c r="E191" s="8"/>
      <c r="F191" s="8"/>
      <c r="G191" s="8"/>
      <c r="H191" s="8"/>
      <c r="I191" s="8"/>
    </row>
    <row r="192" spans="2:9" s="13" customFormat="1" ht="24" customHeight="1">
      <c r="B192" s="112" t="str">
        <f>B181</f>
        <v>Razem</v>
      </c>
      <c r="C192" s="113"/>
      <c r="D192" s="18">
        <f>SUM(D188:D191)</f>
        <v>182169.33</v>
      </c>
      <c r="E192" s="8"/>
      <c r="F192" s="8"/>
      <c r="G192" s="8"/>
      <c r="H192" s="8"/>
      <c r="I192" s="8"/>
    </row>
    <row r="193" spans="2:9" s="13" customFormat="1" ht="15">
      <c r="B193" s="128" t="str">
        <f>B133</f>
        <v>5. Samorządowe Przedszkole </v>
      </c>
      <c r="C193" s="11">
        <v>80104</v>
      </c>
      <c r="D193" s="17">
        <v>55969.29</v>
      </c>
      <c r="E193" s="8"/>
      <c r="F193" s="8"/>
      <c r="G193" s="8"/>
      <c r="H193" s="8"/>
      <c r="I193" s="8"/>
    </row>
    <row r="194" spans="2:9" s="13" customFormat="1" ht="15">
      <c r="B194" s="173"/>
      <c r="C194" s="11">
        <v>80148</v>
      </c>
      <c r="D194" s="17">
        <v>722.49</v>
      </c>
      <c r="E194" s="8"/>
      <c r="F194" s="8"/>
      <c r="G194" s="8"/>
      <c r="H194" s="8"/>
      <c r="I194" s="8"/>
    </row>
    <row r="195" spans="2:9" s="13" customFormat="1" ht="15">
      <c r="B195" s="173"/>
      <c r="C195" s="11">
        <v>80149</v>
      </c>
      <c r="D195" s="17">
        <v>833.14</v>
      </c>
      <c r="E195" s="8"/>
      <c r="F195" s="8"/>
      <c r="G195" s="8"/>
      <c r="H195" s="8"/>
      <c r="I195" s="8"/>
    </row>
    <row r="196" spans="2:9" s="13" customFormat="1" ht="15">
      <c r="B196" s="174"/>
      <c r="C196" s="11">
        <v>85404</v>
      </c>
      <c r="D196" s="17">
        <v>654.48</v>
      </c>
      <c r="E196" s="8"/>
      <c r="F196" s="8"/>
      <c r="G196" s="8"/>
      <c r="H196" s="8"/>
      <c r="I196" s="8"/>
    </row>
    <row r="197" spans="2:9" s="13" customFormat="1" ht="24" customHeight="1">
      <c r="B197" s="81" t="s">
        <v>10</v>
      </c>
      <c r="C197" s="16"/>
      <c r="D197" s="18">
        <f>SUM(D193:D196)</f>
        <v>58179.4</v>
      </c>
      <c r="E197" s="8"/>
      <c r="F197" s="8"/>
      <c r="G197" s="8"/>
      <c r="H197" s="8"/>
      <c r="I197" s="8"/>
    </row>
    <row r="198" spans="2:9" s="13" customFormat="1" ht="31.5" customHeight="1">
      <c r="B198" s="110" t="str">
        <f>B161</f>
        <v>6. SP Wilczkowice </v>
      </c>
      <c r="C198" s="11">
        <v>80101</v>
      </c>
      <c r="D198" s="17">
        <v>72800.55</v>
      </c>
      <c r="E198" s="8"/>
      <c r="F198" s="8"/>
      <c r="G198" s="8"/>
      <c r="H198" s="8"/>
      <c r="I198" s="8"/>
    </row>
    <row r="199" spans="2:9" s="13" customFormat="1" ht="18" customHeight="1">
      <c r="B199" s="111"/>
      <c r="C199" s="11">
        <v>80103</v>
      </c>
      <c r="D199" s="17">
        <v>5163.86</v>
      </c>
      <c r="E199" s="8"/>
      <c r="F199" s="8"/>
      <c r="G199" s="8"/>
      <c r="H199" s="8"/>
      <c r="I199" s="8"/>
    </row>
    <row r="200" spans="2:9" s="13" customFormat="1" ht="18" customHeight="1">
      <c r="B200" s="111"/>
      <c r="C200" s="11">
        <v>80107</v>
      </c>
      <c r="D200" s="17">
        <v>5537.51</v>
      </c>
      <c r="E200" s="8"/>
      <c r="F200" s="8"/>
      <c r="G200" s="8"/>
      <c r="H200" s="8"/>
      <c r="I200" s="8"/>
    </row>
    <row r="201" spans="2:9" s="13" customFormat="1" ht="18" customHeight="1">
      <c r="B201" s="111"/>
      <c r="C201" s="11">
        <v>80148</v>
      </c>
      <c r="D201" s="17">
        <v>409</v>
      </c>
      <c r="E201" s="8"/>
      <c r="F201" s="8"/>
      <c r="G201" s="8"/>
      <c r="H201" s="8"/>
      <c r="I201" s="8"/>
    </row>
    <row r="202" spans="2:9" s="13" customFormat="1" ht="18" customHeight="1">
      <c r="B202" s="111"/>
      <c r="C202" s="11">
        <v>80149</v>
      </c>
      <c r="D202" s="17">
        <v>0</v>
      </c>
      <c r="E202" s="8"/>
      <c r="F202" s="8"/>
      <c r="G202" s="8"/>
      <c r="H202" s="8"/>
      <c r="I202" s="8"/>
    </row>
    <row r="203" spans="2:9" s="13" customFormat="1" ht="18" customHeight="1">
      <c r="B203" s="111"/>
      <c r="C203" s="11">
        <v>80150</v>
      </c>
      <c r="D203" s="17">
        <v>1210.4</v>
      </c>
      <c r="E203" s="8"/>
      <c r="F203" s="8"/>
      <c r="G203" s="8"/>
      <c r="H203" s="8"/>
      <c r="I203" s="8"/>
    </row>
    <row r="204" spans="2:9" s="13" customFormat="1" ht="18" customHeight="1">
      <c r="B204" s="116"/>
      <c r="C204" s="11">
        <v>85404</v>
      </c>
      <c r="D204" s="17">
        <v>535</v>
      </c>
      <c r="E204" s="8"/>
      <c r="F204" s="8"/>
      <c r="G204" s="8"/>
      <c r="H204" s="8"/>
      <c r="I204" s="8"/>
    </row>
    <row r="205" spans="2:9" s="13" customFormat="1" ht="18" customHeight="1">
      <c r="B205" s="112" t="s">
        <v>10</v>
      </c>
      <c r="C205" s="114"/>
      <c r="D205" s="18">
        <f>SUM(D198:D204)</f>
        <v>85656.31999999999</v>
      </c>
      <c r="E205" s="8"/>
      <c r="F205" s="8"/>
      <c r="G205" s="8"/>
      <c r="H205" s="8"/>
      <c r="I205" s="8"/>
    </row>
    <row r="206" spans="2:9" s="13" customFormat="1" ht="15">
      <c r="B206" s="110" t="str">
        <f>B148</f>
        <v>7. CUW Radoszyce </v>
      </c>
      <c r="C206" s="11">
        <v>75085</v>
      </c>
      <c r="D206" s="17">
        <v>2124.37</v>
      </c>
      <c r="E206" s="8"/>
      <c r="F206" s="8"/>
      <c r="G206" s="8"/>
      <c r="H206" s="8"/>
      <c r="I206" s="8"/>
    </row>
    <row r="207" spans="2:9" s="13" customFormat="1" ht="15">
      <c r="B207" s="116"/>
      <c r="C207" s="11">
        <v>80113</v>
      </c>
      <c r="D207" s="17">
        <v>2256.89</v>
      </c>
      <c r="E207" s="8"/>
      <c r="F207" s="8"/>
      <c r="G207" s="8"/>
      <c r="H207" s="8"/>
      <c r="I207" s="8"/>
    </row>
    <row r="208" spans="2:9" s="13" customFormat="1" ht="15">
      <c r="B208" s="131" t="s">
        <v>10</v>
      </c>
      <c r="C208" s="114"/>
      <c r="D208" s="18">
        <f>D207+D206</f>
        <v>4381.26</v>
      </c>
      <c r="E208" s="8"/>
      <c r="F208" s="8"/>
      <c r="G208" s="8"/>
      <c r="H208" s="8"/>
      <c r="I208" s="8"/>
    </row>
    <row r="209" spans="2:9" s="13" customFormat="1" ht="15">
      <c r="B209" s="112" t="s">
        <v>14</v>
      </c>
      <c r="C209" s="114"/>
      <c r="D209" s="18">
        <f>D208+D205+D197+D192+D187+D181+D174</f>
        <v>575590.1</v>
      </c>
      <c r="E209" s="8"/>
      <c r="F209" s="8"/>
      <c r="G209" s="8"/>
      <c r="H209" s="8"/>
      <c r="I209" s="8"/>
    </row>
    <row r="210" spans="2:9" s="13" customFormat="1" ht="17.25" customHeight="1">
      <c r="B210" s="10"/>
      <c r="C210" s="10"/>
      <c r="D210" s="19"/>
      <c r="E210" s="8"/>
      <c r="F210" s="8"/>
      <c r="G210" s="8"/>
      <c r="H210" s="8"/>
      <c r="I210" s="8"/>
    </row>
    <row r="211" spans="2:9" s="13" customFormat="1" ht="15">
      <c r="B211" s="10" t="s">
        <v>113</v>
      </c>
      <c r="C211" s="8"/>
      <c r="D211" s="8"/>
      <c r="E211" s="8"/>
      <c r="F211" s="8"/>
      <c r="G211" s="8"/>
      <c r="H211" s="8"/>
      <c r="I211" s="8"/>
    </row>
    <row r="212" spans="2:9" s="13" customFormat="1" ht="9" customHeight="1">
      <c r="B212" s="10"/>
      <c r="C212" s="8"/>
      <c r="D212" s="8"/>
      <c r="E212" s="8"/>
      <c r="F212" s="8"/>
      <c r="G212" s="8"/>
      <c r="H212" s="8"/>
      <c r="I212" s="8"/>
    </row>
    <row r="213" spans="2:9" s="13" customFormat="1" ht="15">
      <c r="B213" s="16" t="str">
        <f>B147</f>
        <v>Jednostka</v>
      </c>
      <c r="C213" s="16" t="str">
        <f>C147</f>
        <v>Rozdział</v>
      </c>
      <c r="D213" s="16" t="str">
        <f>D147</f>
        <v>Kwota wydatków </v>
      </c>
      <c r="E213" s="163"/>
      <c r="F213" s="164"/>
      <c r="G213" s="127"/>
      <c r="H213" s="8"/>
      <c r="I213" s="8"/>
    </row>
    <row r="214" spans="2:9" s="13" customFormat="1" ht="26.25" customHeight="1">
      <c r="B214" s="11" t="str">
        <f>B169</f>
        <v>1.SP Górniki</v>
      </c>
      <c r="C214" s="82">
        <v>80101</v>
      </c>
      <c r="D214" s="17">
        <v>2241.5</v>
      </c>
      <c r="E214" s="165"/>
      <c r="F214" s="166"/>
      <c r="G214" s="166"/>
      <c r="H214" s="8"/>
      <c r="I214" s="8"/>
    </row>
    <row r="215" spans="2:9" s="13" customFormat="1" ht="24.75" customHeight="1">
      <c r="B215" s="11" t="str">
        <f>B175</f>
        <v>2. SP Kapałów</v>
      </c>
      <c r="C215" s="11">
        <v>80101</v>
      </c>
      <c r="D215" s="17">
        <f>147.6</f>
        <v>147.6</v>
      </c>
      <c r="E215" s="165"/>
      <c r="F215" s="166"/>
      <c r="G215" s="166"/>
      <c r="H215" s="8"/>
      <c r="I215" s="8"/>
    </row>
    <row r="216" spans="2:9" s="13" customFormat="1" ht="15">
      <c r="B216" s="11" t="str">
        <f>B182</f>
        <v>3. SP Kłucko</v>
      </c>
      <c r="C216" s="11">
        <v>80101</v>
      </c>
      <c r="D216" s="17">
        <v>1105.9</v>
      </c>
      <c r="E216" s="165"/>
      <c r="F216" s="166"/>
      <c r="G216" s="166"/>
      <c r="H216" s="8"/>
      <c r="I216" s="8"/>
    </row>
    <row r="217" spans="2:9" s="13" customFormat="1" ht="15">
      <c r="B217" s="11" t="str">
        <f>B62</f>
        <v>4. SP Radoszyce </v>
      </c>
      <c r="C217" s="11">
        <v>80101</v>
      </c>
      <c r="D217" s="17">
        <v>142.68</v>
      </c>
      <c r="E217" s="165"/>
      <c r="F217" s="166"/>
      <c r="G217" s="166"/>
      <c r="H217" s="8"/>
      <c r="I217" s="8"/>
    </row>
    <row r="218" spans="2:9" s="13" customFormat="1" ht="30.75" customHeight="1">
      <c r="B218" s="83" t="str">
        <f>B70</f>
        <v>5. Samorządowe Przedszkole </v>
      </c>
      <c r="C218" s="11">
        <v>80104</v>
      </c>
      <c r="D218" s="17">
        <v>0</v>
      </c>
      <c r="E218" s="165"/>
      <c r="F218" s="166"/>
      <c r="G218" s="166"/>
      <c r="H218" s="8"/>
      <c r="I218" s="8"/>
    </row>
    <row r="219" spans="2:9" s="13" customFormat="1" ht="24.75" customHeight="1">
      <c r="B219" s="11" t="str">
        <f>B78</f>
        <v>6. SP Wilczkowice</v>
      </c>
      <c r="C219" s="11">
        <v>80101</v>
      </c>
      <c r="D219" s="17">
        <v>800</v>
      </c>
      <c r="E219" s="165"/>
      <c r="F219" s="166"/>
      <c r="G219" s="166"/>
      <c r="H219" s="8"/>
      <c r="I219" s="8"/>
    </row>
    <row r="220" spans="2:9" s="13" customFormat="1" ht="24.75" customHeight="1">
      <c r="B220" s="11" t="str">
        <f>B90</f>
        <v>7. CUW Radoszyce </v>
      </c>
      <c r="C220" s="84" t="s">
        <v>72</v>
      </c>
      <c r="D220" s="17">
        <f>989.17+7853.5</f>
        <v>8842.67</v>
      </c>
      <c r="E220" s="165"/>
      <c r="F220" s="166"/>
      <c r="G220" s="166"/>
      <c r="H220" s="8"/>
      <c r="I220" s="8"/>
    </row>
    <row r="221" spans="2:9" s="13" customFormat="1" ht="15">
      <c r="B221" s="118" t="s">
        <v>14</v>
      </c>
      <c r="C221" s="119"/>
      <c r="D221" s="18">
        <f>SUM(D214:D220)</f>
        <v>13280.35</v>
      </c>
      <c r="E221" s="177"/>
      <c r="F221" s="178"/>
      <c r="G221" s="178"/>
      <c r="H221" s="8"/>
      <c r="I221" s="8"/>
    </row>
    <row r="222" spans="2:9" s="13" customFormat="1" ht="24.75" customHeight="1">
      <c r="B222" s="8"/>
      <c r="C222" s="8"/>
      <c r="D222" s="8"/>
      <c r="E222" s="8"/>
      <c r="F222" s="8"/>
      <c r="G222" s="8"/>
      <c r="H222" s="8"/>
      <c r="I222" s="8"/>
    </row>
    <row r="223" spans="2:9" s="13" customFormat="1" ht="15">
      <c r="B223" s="10" t="s">
        <v>114</v>
      </c>
      <c r="C223" s="8"/>
      <c r="D223" s="8"/>
      <c r="E223" s="8"/>
      <c r="F223" s="8"/>
      <c r="G223" s="8"/>
      <c r="H223" s="8"/>
      <c r="I223" s="8"/>
    </row>
    <row r="224" spans="2:9" s="13" customFormat="1" ht="15" customHeight="1">
      <c r="B224" s="10"/>
      <c r="C224" s="8"/>
      <c r="D224" s="8"/>
      <c r="E224" s="8"/>
      <c r="F224" s="8"/>
      <c r="G224" s="8"/>
      <c r="H224" s="8"/>
      <c r="I224" s="8"/>
    </row>
    <row r="225" spans="2:9" s="13" customFormat="1" ht="15">
      <c r="B225" s="16" t="str">
        <f>B213</f>
        <v>Jednostka</v>
      </c>
      <c r="C225" s="16" t="str">
        <f>C213</f>
        <v>Rozdział</v>
      </c>
      <c r="D225" s="16" t="str">
        <f>D213</f>
        <v>Kwota wydatków </v>
      </c>
      <c r="E225" s="8"/>
      <c r="F225" s="8"/>
      <c r="G225" s="8"/>
      <c r="H225" s="8"/>
      <c r="I225" s="8"/>
    </row>
    <row r="226" spans="2:9" s="13" customFormat="1" ht="15">
      <c r="B226" s="117" t="str">
        <f>B214</f>
        <v>1.SP Górniki</v>
      </c>
      <c r="C226" s="11">
        <v>80101</v>
      </c>
      <c r="D226" s="17">
        <v>1452.64</v>
      </c>
      <c r="E226" s="8"/>
      <c r="F226" s="8"/>
      <c r="G226" s="8"/>
      <c r="H226" s="8"/>
      <c r="I226" s="8"/>
    </row>
    <row r="227" spans="2:9" s="13" customFormat="1" ht="15">
      <c r="B227" s="116"/>
      <c r="C227" s="11">
        <v>80103</v>
      </c>
      <c r="D227" s="17">
        <v>178.87</v>
      </c>
      <c r="E227" s="8"/>
      <c r="F227" s="8"/>
      <c r="G227" s="8"/>
      <c r="H227" s="8"/>
      <c r="I227" s="8"/>
    </row>
    <row r="228" spans="2:9" s="13" customFormat="1" ht="15">
      <c r="B228" s="11" t="str">
        <f>B215</f>
        <v>2. SP Kapałów</v>
      </c>
      <c r="C228" s="11">
        <v>80101</v>
      </c>
      <c r="D228" s="17">
        <v>784.22</v>
      </c>
      <c r="E228" s="8"/>
      <c r="F228" s="8"/>
      <c r="G228" s="8"/>
      <c r="H228" s="8"/>
      <c r="I228" s="8"/>
    </row>
    <row r="229" spans="2:9" s="13" customFormat="1" ht="15">
      <c r="B229" s="11" t="str">
        <f>B216</f>
        <v>3. SP Kłucko</v>
      </c>
      <c r="C229" s="11">
        <f>C228</f>
        <v>80101</v>
      </c>
      <c r="D229" s="17">
        <v>361.06</v>
      </c>
      <c r="E229" s="8"/>
      <c r="F229" s="8"/>
      <c r="G229" s="8"/>
      <c r="H229" s="8"/>
      <c r="I229" s="8"/>
    </row>
    <row r="230" spans="2:9" s="13" customFormat="1" ht="20.25" customHeight="1">
      <c r="B230" s="35" t="str">
        <f>B217</f>
        <v>4. SP Radoszyce </v>
      </c>
      <c r="C230" s="35">
        <v>80101</v>
      </c>
      <c r="D230" s="172">
        <v>524.86</v>
      </c>
      <c r="E230" s="8"/>
      <c r="F230" s="8"/>
      <c r="G230" s="8"/>
      <c r="H230" s="8"/>
      <c r="I230" s="8"/>
    </row>
    <row r="231" spans="2:9" s="13" customFormat="1" ht="4.5" customHeight="1">
      <c r="B231" s="59"/>
      <c r="C231" s="59"/>
      <c r="D231" s="116"/>
      <c r="E231" s="8"/>
      <c r="F231" s="8"/>
      <c r="G231" s="8"/>
      <c r="H231" s="8"/>
      <c r="I231" s="8"/>
    </row>
    <row r="232" spans="2:9" s="13" customFormat="1" ht="30">
      <c r="B232" s="83" t="str">
        <f>B218</f>
        <v>5. Samorządowe Przedszkole </v>
      </c>
      <c r="C232" s="11">
        <v>80104</v>
      </c>
      <c r="D232" s="17">
        <v>330.92</v>
      </c>
      <c r="E232" s="8"/>
      <c r="F232" s="8"/>
      <c r="G232" s="8"/>
      <c r="H232" s="8"/>
      <c r="I232" s="8"/>
    </row>
    <row r="233" spans="2:9" s="13" customFormat="1" ht="15">
      <c r="B233" s="11" t="str">
        <f>B219</f>
        <v>6. SP Wilczkowice</v>
      </c>
      <c r="C233" s="11">
        <v>80101</v>
      </c>
      <c r="D233" s="17">
        <f>1059.8+0</f>
        <v>1059.8</v>
      </c>
      <c r="E233" s="8"/>
      <c r="F233" s="8"/>
      <c r="G233" s="8"/>
      <c r="H233" s="8"/>
      <c r="I233" s="8"/>
    </row>
    <row r="234" spans="2:9" s="13" customFormat="1" ht="15">
      <c r="B234" s="117" t="str">
        <f>B220</f>
        <v>7. CUW Radoszyce </v>
      </c>
      <c r="C234" s="11">
        <v>75085</v>
      </c>
      <c r="D234" s="17">
        <v>583.42</v>
      </c>
      <c r="E234" s="8"/>
      <c r="F234" s="8"/>
      <c r="G234" s="8"/>
      <c r="H234" s="8"/>
      <c r="I234" s="8"/>
    </row>
    <row r="235" spans="2:9" s="13" customFormat="1" ht="15">
      <c r="B235" s="116"/>
      <c r="C235" s="11">
        <v>80113</v>
      </c>
      <c r="D235" s="17">
        <v>0</v>
      </c>
      <c r="E235" s="8"/>
      <c r="F235" s="8"/>
      <c r="G235" s="8"/>
      <c r="H235" s="8"/>
      <c r="I235" s="8"/>
    </row>
    <row r="236" spans="2:9" s="13" customFormat="1" ht="23.25" customHeight="1">
      <c r="B236" s="16" t="s">
        <v>14</v>
      </c>
      <c r="C236" s="16"/>
      <c r="D236" s="18">
        <f>SUM(D226:D235)</f>
        <v>5275.790000000001</v>
      </c>
      <c r="E236" s="8"/>
      <c r="F236" s="8"/>
      <c r="G236" s="8"/>
      <c r="H236" s="8"/>
      <c r="I236" s="8"/>
    </row>
    <row r="237" spans="2:9" s="13" customFormat="1" ht="84" customHeight="1">
      <c r="B237" s="8"/>
      <c r="C237" s="8"/>
      <c r="D237" s="8"/>
      <c r="E237" s="8"/>
      <c r="F237" s="8"/>
      <c r="G237" s="8"/>
      <c r="H237" s="8"/>
      <c r="I237" s="8"/>
    </row>
    <row r="238" spans="2:9" s="13" customFormat="1" ht="15">
      <c r="B238" s="10" t="s">
        <v>115</v>
      </c>
      <c r="C238" s="8"/>
      <c r="D238" s="8"/>
      <c r="E238" s="8"/>
      <c r="F238" s="8"/>
      <c r="G238" s="8"/>
      <c r="H238" s="8"/>
      <c r="I238" s="8"/>
    </row>
    <row r="239" spans="2:9" s="13" customFormat="1" ht="15">
      <c r="B239" s="10" t="s">
        <v>49</v>
      </c>
      <c r="C239" s="8"/>
      <c r="D239" s="8"/>
      <c r="E239" s="8"/>
      <c r="F239" s="8"/>
      <c r="G239" s="8"/>
      <c r="H239" s="8"/>
      <c r="I239" s="8"/>
    </row>
    <row r="240" spans="2:9" s="13" customFormat="1" ht="15" customHeight="1">
      <c r="B240" s="10"/>
      <c r="C240" s="8"/>
      <c r="D240" s="8"/>
      <c r="E240" s="8"/>
      <c r="F240" s="8"/>
      <c r="G240" s="8"/>
      <c r="H240" s="8"/>
      <c r="I240" s="8"/>
    </row>
    <row r="241" spans="2:9" s="13" customFormat="1" ht="15">
      <c r="B241" s="16" t="str">
        <f>B225</f>
        <v>Jednostka</v>
      </c>
      <c r="C241" s="16" t="str">
        <f>C225</f>
        <v>Rozdział</v>
      </c>
      <c r="D241" s="16" t="str">
        <f>D225</f>
        <v>Kwota wydatków </v>
      </c>
      <c r="E241" s="8"/>
      <c r="F241" s="8"/>
      <c r="G241" s="8"/>
      <c r="H241" s="8"/>
      <c r="I241" s="8"/>
    </row>
    <row r="242" spans="2:9" s="13" customFormat="1" ht="15">
      <c r="B242" s="110" t="str">
        <f>B226</f>
        <v>1.SP Górniki</v>
      </c>
      <c r="C242" s="11">
        <v>80101</v>
      </c>
      <c r="D242" s="17">
        <v>500</v>
      </c>
      <c r="E242" s="8"/>
      <c r="F242" s="8"/>
      <c r="G242" s="8"/>
      <c r="H242" s="8"/>
      <c r="I242" s="8"/>
    </row>
    <row r="243" spans="2:9" s="13" customFormat="1" ht="15">
      <c r="B243" s="115"/>
      <c r="C243" s="11">
        <v>80150</v>
      </c>
      <c r="D243" s="17">
        <v>400</v>
      </c>
      <c r="E243" s="8"/>
      <c r="F243" s="8"/>
      <c r="G243" s="8"/>
      <c r="H243" s="8"/>
      <c r="I243" s="8"/>
    </row>
    <row r="244" spans="2:9" s="13" customFormat="1" ht="15">
      <c r="B244" s="116"/>
      <c r="C244" s="11">
        <v>80146</v>
      </c>
      <c r="D244" s="17">
        <v>10258.5</v>
      </c>
      <c r="E244" s="8"/>
      <c r="F244" s="8"/>
      <c r="G244" s="8"/>
      <c r="H244" s="8"/>
      <c r="I244" s="8"/>
    </row>
    <row r="245" spans="2:9" s="13" customFormat="1" ht="15">
      <c r="B245" s="110" t="str">
        <f>B228</f>
        <v>2. SP Kapałów</v>
      </c>
      <c r="C245" s="11">
        <v>80101</v>
      </c>
      <c r="D245" s="17">
        <v>220</v>
      </c>
      <c r="E245" s="8"/>
      <c r="F245" s="8"/>
      <c r="G245" s="8"/>
      <c r="H245" s="8"/>
      <c r="I245" s="8"/>
    </row>
    <row r="246" spans="2:9" s="13" customFormat="1" ht="15">
      <c r="B246" s="111"/>
      <c r="C246" s="11">
        <v>80103</v>
      </c>
      <c r="D246" s="17">
        <v>0</v>
      </c>
      <c r="E246" s="8"/>
      <c r="F246" s="8"/>
      <c r="G246" s="8"/>
      <c r="H246" s="8"/>
      <c r="I246" s="8"/>
    </row>
    <row r="247" spans="2:9" s="13" customFormat="1" ht="15">
      <c r="B247" s="111"/>
      <c r="C247" s="11">
        <v>80146</v>
      </c>
      <c r="D247" s="17">
        <v>7614.22</v>
      </c>
      <c r="E247" s="8"/>
      <c r="F247" s="8"/>
      <c r="G247" s="8"/>
      <c r="H247" s="8"/>
      <c r="I247" s="8"/>
    </row>
    <row r="248" spans="2:9" s="13" customFormat="1" ht="15">
      <c r="B248" s="116"/>
      <c r="C248" s="11">
        <v>80148</v>
      </c>
      <c r="D248" s="17">
        <v>0</v>
      </c>
      <c r="E248" s="8"/>
      <c r="F248" s="8"/>
      <c r="G248" s="8"/>
      <c r="H248" s="8"/>
      <c r="I248" s="8"/>
    </row>
    <row r="249" spans="2:9" s="13" customFormat="1" ht="15">
      <c r="B249" s="110" t="str">
        <f>B229</f>
        <v>3. SP Kłucko</v>
      </c>
      <c r="C249" s="11">
        <f>C245</f>
        <v>80101</v>
      </c>
      <c r="D249" s="17">
        <v>1000</v>
      </c>
      <c r="E249" s="8"/>
      <c r="F249" s="8"/>
      <c r="G249" s="8"/>
      <c r="H249" s="8"/>
      <c r="I249" s="8"/>
    </row>
    <row r="250" spans="2:9" s="13" customFormat="1" ht="15">
      <c r="B250" s="116"/>
      <c r="C250" s="11">
        <v>80146</v>
      </c>
      <c r="D250" s="17">
        <v>2072.5</v>
      </c>
      <c r="E250" s="8"/>
      <c r="F250" s="8"/>
      <c r="G250" s="8"/>
      <c r="H250" s="8"/>
      <c r="I250" s="8"/>
    </row>
    <row r="251" spans="2:9" s="13" customFormat="1" ht="21">
      <c r="B251" s="110" t="str">
        <f>B230</f>
        <v>4. SP Radoszyce </v>
      </c>
      <c r="C251" s="91" t="s">
        <v>123</v>
      </c>
      <c r="D251" s="17">
        <f>2720+140+100+70</f>
        <v>3030</v>
      </c>
      <c r="E251" s="8"/>
      <c r="F251" s="8"/>
      <c r="G251" s="8"/>
      <c r="H251" s="8"/>
      <c r="I251" s="8"/>
    </row>
    <row r="252" spans="2:9" s="13" customFormat="1" ht="19.5" customHeight="1">
      <c r="B252" s="111"/>
      <c r="C252" s="11">
        <v>80146</v>
      </c>
      <c r="D252" s="17">
        <v>3806.86</v>
      </c>
      <c r="E252" s="8"/>
      <c r="F252" s="8"/>
      <c r="G252" s="8"/>
      <c r="H252" s="8"/>
      <c r="I252" s="8"/>
    </row>
    <row r="253" spans="2:9" s="13" customFormat="1" ht="19.5" customHeight="1">
      <c r="B253" s="128" t="str">
        <f>B232</f>
        <v>5. Samorządowe Przedszkole </v>
      </c>
      <c r="C253" s="11">
        <v>80104</v>
      </c>
      <c r="D253" s="17">
        <v>480</v>
      </c>
      <c r="E253" s="8"/>
      <c r="F253" s="8"/>
      <c r="G253" s="8"/>
      <c r="H253" s="8"/>
      <c r="I253" s="8"/>
    </row>
    <row r="254" spans="2:9" s="13" customFormat="1" ht="15">
      <c r="B254" s="111"/>
      <c r="C254" s="11">
        <v>80146</v>
      </c>
      <c r="D254" s="17">
        <v>1494</v>
      </c>
      <c r="E254" s="8"/>
      <c r="F254" s="8"/>
      <c r="G254" s="8"/>
      <c r="H254" s="8"/>
      <c r="I254" s="8"/>
    </row>
    <row r="255" spans="2:9" s="13" customFormat="1" ht="15">
      <c r="B255" s="116"/>
      <c r="C255" s="11">
        <v>80148</v>
      </c>
      <c r="D255" s="17">
        <v>0</v>
      </c>
      <c r="E255" s="8"/>
      <c r="F255" s="8"/>
      <c r="G255" s="8"/>
      <c r="H255" s="8"/>
      <c r="I255" s="8"/>
    </row>
    <row r="256" spans="2:9" s="13" customFormat="1" ht="15">
      <c r="B256" s="110" t="str">
        <f>B233</f>
        <v>6. SP Wilczkowice</v>
      </c>
      <c r="C256" s="85" t="s">
        <v>112</v>
      </c>
      <c r="D256" s="17">
        <f>1100+70+70</f>
        <v>1240</v>
      </c>
      <c r="E256" s="8"/>
      <c r="F256" s="8"/>
      <c r="G256" s="8"/>
      <c r="H256" s="8"/>
      <c r="I256" s="8"/>
    </row>
    <row r="257" spans="2:9" s="13" customFormat="1" ht="15">
      <c r="B257" s="111"/>
      <c r="C257" s="11">
        <v>80146</v>
      </c>
      <c r="D257" s="17">
        <v>3419.6</v>
      </c>
      <c r="E257" s="8"/>
      <c r="F257" s="8"/>
      <c r="G257" s="8"/>
      <c r="H257" s="8"/>
      <c r="I257" s="8"/>
    </row>
    <row r="258" spans="2:9" s="13" customFormat="1" ht="15">
      <c r="B258" s="110" t="str">
        <f>B234</f>
        <v>7. CUW Radoszyce </v>
      </c>
      <c r="C258" s="11">
        <v>75085</v>
      </c>
      <c r="D258" s="17">
        <f>3706</f>
        <v>3706</v>
      </c>
      <c r="E258" s="8"/>
      <c r="F258" s="8"/>
      <c r="G258" s="8"/>
      <c r="H258" s="8"/>
      <c r="I258" s="8"/>
    </row>
    <row r="259" spans="2:9" s="13" customFormat="1" ht="15">
      <c r="B259" s="116"/>
      <c r="C259" s="11">
        <v>80113</v>
      </c>
      <c r="D259" s="17">
        <v>1252.53</v>
      </c>
      <c r="E259" s="8"/>
      <c r="F259" s="8"/>
      <c r="G259" s="8"/>
      <c r="H259" s="8"/>
      <c r="I259" s="8"/>
    </row>
    <row r="260" spans="2:9" s="13" customFormat="1" ht="15">
      <c r="B260" s="16" t="s">
        <v>14</v>
      </c>
      <c r="C260" s="16"/>
      <c r="D260" s="18">
        <f>SUM(D242:D259)</f>
        <v>40494.21</v>
      </c>
      <c r="E260" s="8"/>
      <c r="F260" s="8"/>
      <c r="G260" s="8"/>
      <c r="H260" s="8"/>
      <c r="I260" s="8"/>
    </row>
    <row r="261" s="13" customFormat="1" ht="14.25"/>
    <row r="262" s="13" customFormat="1" ht="14.25"/>
    <row r="263" spans="2:9" s="13" customFormat="1" ht="15">
      <c r="B263" s="10" t="s">
        <v>116</v>
      </c>
      <c r="C263" s="8"/>
      <c r="D263" s="8"/>
      <c r="E263" s="8"/>
      <c r="F263" s="8"/>
      <c r="G263" s="8"/>
      <c r="H263" s="8"/>
      <c r="I263" s="8"/>
    </row>
    <row r="264" s="13" customFormat="1" ht="15">
      <c r="B264" s="10" t="s">
        <v>50</v>
      </c>
    </row>
    <row r="265" s="13" customFormat="1" ht="14.25"/>
    <row r="266" spans="2:7" s="13" customFormat="1" ht="104.25" customHeight="1">
      <c r="B266" s="20" t="str">
        <f>B225</f>
        <v>Jednostka</v>
      </c>
      <c r="C266" s="21" t="s">
        <v>84</v>
      </c>
      <c r="D266" s="21" t="s">
        <v>142</v>
      </c>
      <c r="E266" s="21" t="s">
        <v>22</v>
      </c>
      <c r="F266" s="21" t="s">
        <v>23</v>
      </c>
      <c r="G266" s="16" t="s">
        <v>15</v>
      </c>
    </row>
    <row r="267" spans="2:7" s="13" customFormat="1" ht="15">
      <c r="B267" s="59" t="s">
        <v>16</v>
      </c>
      <c r="C267" s="17">
        <f>92178.18+6066.43</f>
        <v>98244.60999999999</v>
      </c>
      <c r="D267" s="17">
        <f>4089.1+7956+6676.14</f>
        <v>18721.24</v>
      </c>
      <c r="E267" s="17">
        <f>11045.45</f>
        <v>11045.45</v>
      </c>
      <c r="F267" s="17">
        <v>6075.1</v>
      </c>
      <c r="G267" s="18">
        <f>SUM(C267:F267)</f>
        <v>134086.4</v>
      </c>
    </row>
    <row r="268" spans="2:7" s="13" customFormat="1" ht="15">
      <c r="B268" s="11" t="str">
        <f>B245</f>
        <v>2. SP Kapałów</v>
      </c>
      <c r="C268" s="17">
        <f>149392.51+336.23+543.62+1879.8</f>
        <v>152152.16</v>
      </c>
      <c r="D268" s="17">
        <f>1996.14+8196.42+995.2+5962.21</f>
        <v>17149.97</v>
      </c>
      <c r="E268" s="17">
        <f>20518.64+0</f>
        <v>20518.64</v>
      </c>
      <c r="F268" s="17">
        <v>26700.15</v>
      </c>
      <c r="G268" s="18">
        <f aca="true" t="shared" si="5" ref="G268:G273">SUM(C268:F268)</f>
        <v>216520.92</v>
      </c>
    </row>
    <row r="269" spans="2:7" s="13" customFormat="1" ht="15">
      <c r="B269" s="11" t="str">
        <f>B249</f>
        <v>3. SP Kłucko</v>
      </c>
      <c r="C269" s="17">
        <f>108555.66+150+873.34</f>
        <v>109579</v>
      </c>
      <c r="D269" s="17">
        <f>9187.44+1944.54+3995.3+5369.4</f>
        <v>20496.68</v>
      </c>
      <c r="E269" s="17">
        <f>11710.37+785.07</f>
        <v>12495.44</v>
      </c>
      <c r="F269" s="17">
        <v>24199.57</v>
      </c>
      <c r="G269" s="18">
        <f t="shared" si="5"/>
        <v>166770.69</v>
      </c>
    </row>
    <row r="270" spans="2:7" s="13" customFormat="1" ht="19.5" customHeight="1">
      <c r="B270" s="35" t="str">
        <f>B251</f>
        <v>4. SP Radoszyce </v>
      </c>
      <c r="C270" s="17">
        <f>164134.08+3950.17</f>
        <v>168084.25</v>
      </c>
      <c r="D270" s="17">
        <f>13134.38+2779.53+23708.82</f>
        <v>39622.729999999996</v>
      </c>
      <c r="E270" s="17">
        <v>9161.16</v>
      </c>
      <c r="F270" s="17">
        <v>75217.95</v>
      </c>
      <c r="G270" s="18">
        <f t="shared" si="5"/>
        <v>292086.08999999997</v>
      </c>
    </row>
    <row r="271" spans="2:7" s="13" customFormat="1" ht="30">
      <c r="B271" s="83" t="str">
        <f>B253</f>
        <v>5. Samorządowe Przedszkole </v>
      </c>
      <c r="C271" s="17">
        <f>2412.81+49466.21</f>
        <v>51879.02</v>
      </c>
      <c r="D271" s="17">
        <f>2999.92</f>
        <v>2999.92</v>
      </c>
      <c r="E271" s="17">
        <f>505.04+23247.46</f>
        <v>23752.5</v>
      </c>
      <c r="F271" s="17">
        <v>0</v>
      </c>
      <c r="G271" s="18">
        <f t="shared" si="5"/>
        <v>78631.44</v>
      </c>
    </row>
    <row r="272" spans="2:7" s="13" customFormat="1" ht="24" customHeight="1">
      <c r="B272" s="11" t="str">
        <f>B256</f>
        <v>6. SP Wilczkowice</v>
      </c>
      <c r="C272" s="17">
        <f>94832.11+3861.01+3500</f>
        <v>102193.12</v>
      </c>
      <c r="D272" s="17">
        <f>1065.39+2477.7+5000+8401.8+11000</f>
        <v>27944.89</v>
      </c>
      <c r="E272" s="17">
        <f>12283.23+681.01</f>
        <v>12964.24</v>
      </c>
      <c r="F272" s="17">
        <v>31045.58</v>
      </c>
      <c r="G272" s="18">
        <f t="shared" si="5"/>
        <v>174147.83000000002</v>
      </c>
    </row>
    <row r="273" spans="2:7" s="13" customFormat="1" ht="15">
      <c r="B273" s="59" t="s">
        <v>76</v>
      </c>
      <c r="C273" s="17">
        <f>28595.97+108649.95</f>
        <v>137245.91999999998</v>
      </c>
      <c r="D273" s="17">
        <v>0</v>
      </c>
      <c r="E273" s="17">
        <v>0</v>
      </c>
      <c r="F273" s="17">
        <v>0</v>
      </c>
      <c r="G273" s="18">
        <f t="shared" si="5"/>
        <v>137245.91999999998</v>
      </c>
    </row>
    <row r="274" spans="2:8" s="13" customFormat="1" ht="15">
      <c r="B274" s="16" t="s">
        <v>14</v>
      </c>
      <c r="C274" s="18">
        <f>SUM(C267:C273)</f>
        <v>819378.0800000001</v>
      </c>
      <c r="D274" s="18">
        <f>SUM(D267:D273)</f>
        <v>126935.43</v>
      </c>
      <c r="E274" s="18">
        <f>SUM(E267:E273)</f>
        <v>89937.43000000001</v>
      </c>
      <c r="F274" s="18">
        <f>SUM(F267:F273)</f>
        <v>163238.34999999998</v>
      </c>
      <c r="G274" s="18">
        <f>SUM(G267:G273)</f>
        <v>1199489.29</v>
      </c>
      <c r="H274" s="14"/>
    </row>
    <row r="275" s="13" customFormat="1" ht="14.25"/>
    <row r="276" spans="4:6" s="13" customFormat="1" ht="86.25" customHeight="1">
      <c r="D276" s="14"/>
      <c r="F276" s="54"/>
    </row>
    <row r="277" s="13" customFormat="1" ht="15">
      <c r="B277" s="10" t="s">
        <v>117</v>
      </c>
    </row>
    <row r="278" s="13" customFormat="1" ht="14.25"/>
    <row r="279" spans="2:8" s="13" customFormat="1" ht="51.75">
      <c r="B279" s="22" t="str">
        <f>B266</f>
        <v>Jednostka</v>
      </c>
      <c r="C279" s="23" t="s">
        <v>24</v>
      </c>
      <c r="D279" s="23" t="s">
        <v>25</v>
      </c>
      <c r="E279" s="23" t="s">
        <v>26</v>
      </c>
      <c r="F279" s="23" t="s">
        <v>27</v>
      </c>
      <c r="G279" s="23" t="s">
        <v>33</v>
      </c>
      <c r="H279" s="22" t="s">
        <v>15</v>
      </c>
    </row>
    <row r="280" spans="2:8" s="13" customFormat="1" ht="15">
      <c r="B280" s="59" t="s">
        <v>16</v>
      </c>
      <c r="C280" s="17">
        <f>38654.08+11446.5</f>
        <v>50100.58</v>
      </c>
      <c r="D280" s="17">
        <v>952.35</v>
      </c>
      <c r="E280" s="17">
        <v>680</v>
      </c>
      <c r="F280" s="17">
        <v>696</v>
      </c>
      <c r="G280" s="17">
        <f>1109+60</f>
        <v>1169</v>
      </c>
      <c r="H280" s="93">
        <f>SUM(C280:G280)</f>
        <v>53597.93</v>
      </c>
    </row>
    <row r="281" spans="2:8" s="13" customFormat="1" ht="15">
      <c r="B281" s="11" t="str">
        <f>B268</f>
        <v>2. SP Kapałów</v>
      </c>
      <c r="C281" s="17">
        <f>17264.53+1400+8283</f>
        <v>26947.53</v>
      </c>
      <c r="D281" s="17">
        <v>1910.09</v>
      </c>
      <c r="E281" s="17">
        <f>840+60+60+0</f>
        <v>960</v>
      </c>
      <c r="F281" s="17">
        <v>2784</v>
      </c>
      <c r="G281" s="17">
        <f>3087.8+0</f>
        <v>3087.8</v>
      </c>
      <c r="H281" s="93">
        <f aca="true" t="shared" si="6" ref="H281:H286">SUM(C281:G281)</f>
        <v>35689.42</v>
      </c>
    </row>
    <row r="282" spans="2:8" s="13" customFormat="1" ht="15">
      <c r="B282" s="11" t="str">
        <f>B269</f>
        <v>3. SP Kłucko</v>
      </c>
      <c r="C282" s="17">
        <f>28438.98</f>
        <v>28438.98</v>
      </c>
      <c r="D282" s="17">
        <v>433.92</v>
      </c>
      <c r="E282" s="17">
        <f>1140+100</f>
        <v>1240</v>
      </c>
      <c r="F282" s="17">
        <v>696</v>
      </c>
      <c r="G282" s="17">
        <f>1475+135</f>
        <v>1610</v>
      </c>
      <c r="H282" s="93">
        <f t="shared" si="6"/>
        <v>32418.899999999998</v>
      </c>
    </row>
    <row r="283" spans="2:8" s="13" customFormat="1" ht="15">
      <c r="B283" s="11" t="str">
        <f>B270</f>
        <v>4. SP Radoszyce </v>
      </c>
      <c r="C283" s="17">
        <f>26740.09</f>
        <v>26740.09</v>
      </c>
      <c r="D283" s="17">
        <v>1830.78</v>
      </c>
      <c r="E283" s="17">
        <f>1820+220</f>
        <v>2040</v>
      </c>
      <c r="F283" s="17">
        <v>5568</v>
      </c>
      <c r="G283" s="17">
        <f>1616+125</f>
        <v>1741</v>
      </c>
      <c r="H283" s="93">
        <f t="shared" si="6"/>
        <v>37919.869999999995</v>
      </c>
    </row>
    <row r="284" spans="2:8" s="13" customFormat="1" ht="30">
      <c r="B284" s="83" t="str">
        <f>B271</f>
        <v>5. Samorządowe Przedszkole </v>
      </c>
      <c r="C284" s="17">
        <f>21535.35+167464.5+0</f>
        <v>188999.85</v>
      </c>
      <c r="D284" s="17">
        <v>1567.19</v>
      </c>
      <c r="E284" s="17">
        <f>1020+120+100</f>
        <v>1240</v>
      </c>
      <c r="F284" s="17">
        <v>1392</v>
      </c>
      <c r="G284" s="17">
        <f>819</f>
        <v>819</v>
      </c>
      <c r="H284" s="93">
        <f t="shared" si="6"/>
        <v>194018.04</v>
      </c>
    </row>
    <row r="285" spans="2:8" s="13" customFormat="1" ht="15">
      <c r="B285" s="11" t="str">
        <f>B272</f>
        <v>6. SP Wilczkowice</v>
      </c>
      <c r="C285" s="17">
        <f>18844.23+26300</f>
        <v>45144.229999999996</v>
      </c>
      <c r="D285" s="17">
        <v>1342.77</v>
      </c>
      <c r="E285" s="17">
        <f>940+120+40</f>
        <v>1100</v>
      </c>
      <c r="F285" s="17">
        <v>288</v>
      </c>
      <c r="G285" s="17">
        <f>3129</f>
        <v>3129</v>
      </c>
      <c r="H285" s="93">
        <f t="shared" si="6"/>
        <v>51003.99999999999</v>
      </c>
    </row>
    <row r="286" spans="2:8" s="13" customFormat="1" ht="15">
      <c r="B286" s="86" t="s">
        <v>76</v>
      </c>
      <c r="C286" s="17">
        <f>18984.06+202473.24</f>
        <v>221457.3</v>
      </c>
      <c r="D286" s="17">
        <f>2305.73+400</f>
        <v>2705.73</v>
      </c>
      <c r="E286" s="17">
        <f>180+210</f>
        <v>390</v>
      </c>
      <c r="F286" s="17">
        <v>0</v>
      </c>
      <c r="G286" s="17">
        <f>177+4024+2532</f>
        <v>6733</v>
      </c>
      <c r="H286" s="93">
        <f t="shared" si="6"/>
        <v>231286.03</v>
      </c>
    </row>
    <row r="287" spans="2:8" s="13" customFormat="1" ht="15">
      <c r="B287" s="16" t="s">
        <v>14</v>
      </c>
      <c r="C287" s="18">
        <f>SUM(C280:C286)</f>
        <v>587828.56</v>
      </c>
      <c r="D287" s="18">
        <f>SUM(D280:D286)</f>
        <v>10742.83</v>
      </c>
      <c r="E287" s="18">
        <f>SUM(E280:E286)</f>
        <v>7650</v>
      </c>
      <c r="F287" s="18">
        <f>SUM(F280:F286)</f>
        <v>11424</v>
      </c>
      <c r="G287" s="18">
        <f>SUM(G280:G286)</f>
        <v>18288.8</v>
      </c>
      <c r="H287" s="30">
        <f>SUM(H280:H286)</f>
        <v>635934.1900000001</v>
      </c>
    </row>
    <row r="288" s="13" customFormat="1" ht="14.25">
      <c r="G288" s="14"/>
    </row>
    <row r="289" s="13" customFormat="1" ht="14.25" hidden="1"/>
    <row r="290" spans="2:3" s="13" customFormat="1" ht="15">
      <c r="B290" s="10" t="s">
        <v>118</v>
      </c>
      <c r="C290" s="24"/>
    </row>
    <row r="291" spans="2:9" s="13" customFormat="1" ht="14.25">
      <c r="B291" s="24" t="s">
        <v>51</v>
      </c>
      <c r="C291" s="24"/>
      <c r="I291" s="14"/>
    </row>
    <row r="292" spans="2:3" s="13" customFormat="1" ht="10.5" customHeight="1">
      <c r="B292" s="24"/>
      <c r="C292" s="24"/>
    </row>
    <row r="293" spans="2:8" s="13" customFormat="1" ht="15.75">
      <c r="B293" s="16" t="str">
        <f>B279</f>
        <v>Jednostka</v>
      </c>
      <c r="C293" s="106" t="s">
        <v>28</v>
      </c>
      <c r="D293" s="107"/>
      <c r="E293" s="25"/>
      <c r="F293" s="25"/>
      <c r="G293" s="10"/>
      <c r="H293" s="24"/>
    </row>
    <row r="294" spans="2:8" s="13" customFormat="1" ht="15.75">
      <c r="B294" s="11" t="s">
        <v>16</v>
      </c>
      <c r="C294" s="108">
        <f>53828+3618+2479+965+6767+9297</f>
        <v>76954</v>
      </c>
      <c r="D294" s="109"/>
      <c r="E294" s="26"/>
      <c r="F294" s="26"/>
      <c r="G294" s="27"/>
      <c r="H294" s="28"/>
    </row>
    <row r="295" spans="2:8" s="13" customFormat="1" ht="15.75">
      <c r="B295" s="11" t="str">
        <f>B281</f>
        <v>2. SP Kapałów</v>
      </c>
      <c r="C295" s="108">
        <f>60645+3450+3350+1663+1103+18058</f>
        <v>88269</v>
      </c>
      <c r="D295" s="109"/>
      <c r="E295" s="26"/>
      <c r="F295" s="26"/>
      <c r="G295" s="27"/>
      <c r="H295" s="28"/>
    </row>
    <row r="296" spans="2:8" s="13" customFormat="1" ht="15.75">
      <c r="B296" s="11" t="str">
        <f>B282</f>
        <v>3. SP Kłucko</v>
      </c>
      <c r="C296" s="108">
        <f>52122+4747+3350+1663+603+13003</f>
        <v>75488</v>
      </c>
      <c r="D296" s="109"/>
      <c r="E296" s="26"/>
      <c r="F296" s="26"/>
      <c r="G296" s="27"/>
      <c r="H296" s="28"/>
    </row>
    <row r="297" spans="2:8" s="13" customFormat="1" ht="15.75">
      <c r="B297" s="11" t="str">
        <f>B283</f>
        <v>4. SP Radoszyce </v>
      </c>
      <c r="C297" s="108">
        <f>113846+7068+4989+6977+72594</f>
        <v>205474</v>
      </c>
      <c r="D297" s="109"/>
      <c r="E297" s="26"/>
      <c r="F297" s="26"/>
      <c r="G297" s="27"/>
      <c r="H297" s="28"/>
    </row>
    <row r="298" spans="2:9" s="13" customFormat="1" ht="29.25" customHeight="1">
      <c r="B298" s="83" t="str">
        <f>B284</f>
        <v>5. Samorządowe Przedszkole </v>
      </c>
      <c r="C298" s="108">
        <f>51014+4008+1817+17628+435</f>
        <v>74902</v>
      </c>
      <c r="D298" s="109"/>
      <c r="E298" s="26"/>
      <c r="F298" s="26"/>
      <c r="G298" s="27"/>
      <c r="H298" s="126"/>
      <c r="I298" s="127"/>
    </row>
    <row r="299" spans="2:8" s="13" customFormat="1" ht="15.75">
      <c r="B299" s="11" t="str">
        <f>B285</f>
        <v>6. SP Wilczkowice</v>
      </c>
      <c r="C299" s="108">
        <f>55833+3584+4388+1663+1535+12696+368</f>
        <v>80067</v>
      </c>
      <c r="D299" s="109"/>
      <c r="E299" s="26"/>
      <c r="F299" s="26"/>
      <c r="G299" s="27"/>
      <c r="H299" s="28"/>
    </row>
    <row r="300" spans="2:8" s="13" customFormat="1" ht="15.75">
      <c r="B300" s="11" t="s">
        <v>76</v>
      </c>
      <c r="C300" s="108">
        <f>13309+7206</f>
        <v>20515</v>
      </c>
      <c r="D300" s="109"/>
      <c r="E300" s="26"/>
      <c r="F300" s="26"/>
      <c r="G300" s="27"/>
      <c r="H300" s="29"/>
    </row>
    <row r="301" spans="2:8" s="13" customFormat="1" ht="15.75">
      <c r="B301" s="16" t="s">
        <v>14</v>
      </c>
      <c r="C301" s="129">
        <f>SUM(C294:D300)</f>
        <v>621669</v>
      </c>
      <c r="D301" s="109"/>
      <c r="E301" s="27"/>
      <c r="F301" s="27"/>
      <c r="G301" s="27"/>
      <c r="H301" s="28"/>
    </row>
    <row r="302" s="13" customFormat="1" ht="14.25"/>
    <row r="303" s="13" customFormat="1" ht="15">
      <c r="B303" s="10" t="s">
        <v>119</v>
      </c>
    </row>
    <row r="304" s="13" customFormat="1" ht="6.75" customHeight="1"/>
    <row r="305" spans="2:4" s="13" customFormat="1" ht="39">
      <c r="B305" s="22" t="str">
        <f>B293</f>
        <v>Jednostka</v>
      </c>
      <c r="C305" s="23" t="s">
        <v>111</v>
      </c>
      <c r="D305" s="23" t="s">
        <v>61</v>
      </c>
    </row>
    <row r="306" spans="2:4" s="13" customFormat="1" ht="15">
      <c r="B306" s="87" t="s">
        <v>83</v>
      </c>
      <c r="C306" s="88">
        <v>96924</v>
      </c>
      <c r="D306" s="88" t="s">
        <v>110</v>
      </c>
    </row>
    <row r="307" spans="2:4" s="13" customFormat="1" ht="15">
      <c r="B307" s="87" t="s">
        <v>108</v>
      </c>
      <c r="C307" s="88">
        <v>137760</v>
      </c>
      <c r="D307" s="88" t="s">
        <v>109</v>
      </c>
    </row>
    <row r="308" spans="2:4" s="13" customFormat="1" ht="21" customHeight="1">
      <c r="B308" s="40" t="s">
        <v>11</v>
      </c>
      <c r="C308" s="89">
        <f>SUM(C306:C307)</f>
        <v>234684</v>
      </c>
      <c r="D308" s="89" t="s">
        <v>59</v>
      </c>
    </row>
    <row r="309" s="13" customFormat="1" ht="14.25">
      <c r="M309" s="14"/>
    </row>
    <row r="310" spans="2:15" s="13" customFormat="1" ht="15">
      <c r="B310" s="10" t="s">
        <v>120</v>
      </c>
      <c r="M310" s="14"/>
      <c r="O310" s="14"/>
    </row>
    <row r="311" s="13" customFormat="1" ht="14.25">
      <c r="M311" s="14"/>
    </row>
    <row r="312" spans="2:13" s="13" customFormat="1" ht="31.5">
      <c r="B312" s="22" t="s">
        <v>5</v>
      </c>
      <c r="C312" s="90" t="s">
        <v>73</v>
      </c>
      <c r="D312" s="23" t="s">
        <v>61</v>
      </c>
      <c r="M312" s="14"/>
    </row>
    <row r="313" spans="2:13" s="13" customFormat="1" ht="42.75" customHeight="1">
      <c r="B313" s="59" t="s">
        <v>74</v>
      </c>
      <c r="C313" s="17">
        <f>5000+287000</f>
        <v>292000</v>
      </c>
      <c r="D313" s="49" t="s">
        <v>99</v>
      </c>
      <c r="M313" s="14"/>
    </row>
    <row r="314" spans="2:16" s="13" customFormat="1" ht="15">
      <c r="B314" s="16" t="s">
        <v>11</v>
      </c>
      <c r="C314" s="18">
        <f>C313</f>
        <v>292000</v>
      </c>
      <c r="D314" s="18" t="s">
        <v>59</v>
      </c>
      <c r="M314" s="14"/>
      <c r="P314" s="14"/>
    </row>
    <row r="315" spans="2:13" s="13" customFormat="1" ht="15">
      <c r="B315" s="10"/>
      <c r="C315" s="19"/>
      <c r="D315" s="19"/>
      <c r="M315" s="14"/>
    </row>
    <row r="316" spans="2:13" s="13" customFormat="1" ht="63.75" customHeight="1">
      <c r="B316" s="10"/>
      <c r="C316" s="19"/>
      <c r="D316" s="19"/>
      <c r="M316" s="14"/>
    </row>
    <row r="317" spans="2:3" s="13" customFormat="1" ht="15">
      <c r="B317" s="10" t="s">
        <v>121</v>
      </c>
      <c r="C317" s="24"/>
    </row>
    <row r="318" spans="2:3" s="13" customFormat="1" ht="14.25">
      <c r="B318" s="24" t="s">
        <v>75</v>
      </c>
      <c r="C318" s="24"/>
    </row>
    <row r="319" spans="2:3" s="13" customFormat="1" ht="14.25">
      <c r="B319" s="24"/>
      <c r="C319" s="24"/>
    </row>
    <row r="320" spans="2:4" s="13" customFormat="1" ht="15.75">
      <c r="B320" s="16" t="str">
        <f>B312</f>
        <v>Jednostka</v>
      </c>
      <c r="C320" s="106" t="s">
        <v>28</v>
      </c>
      <c r="D320" s="107"/>
    </row>
    <row r="321" spans="2:4" s="13" customFormat="1" ht="15.75">
      <c r="B321" s="11" t="s">
        <v>16</v>
      </c>
      <c r="C321" s="108">
        <f>0</f>
        <v>0</v>
      </c>
      <c r="D321" s="109"/>
    </row>
    <row r="322" spans="2:4" s="13" customFormat="1" ht="15.75">
      <c r="B322" s="11" t="str">
        <f>B295</f>
        <v>2. SP Kapałów</v>
      </c>
      <c r="C322" s="108">
        <v>0</v>
      </c>
      <c r="D322" s="109"/>
    </row>
    <row r="323" spans="2:4" s="13" customFormat="1" ht="15.75">
      <c r="B323" s="11" t="str">
        <f>B296</f>
        <v>3. SP Kłucko</v>
      </c>
      <c r="C323" s="108">
        <v>0</v>
      </c>
      <c r="D323" s="109"/>
    </row>
    <row r="324" spans="2:4" s="13" customFormat="1" ht="15.75">
      <c r="B324" s="11" t="str">
        <f>B297</f>
        <v>4. SP Radoszyce </v>
      </c>
      <c r="C324" s="108">
        <f>10230.15+91.69+1715.13</f>
        <v>12036.970000000001</v>
      </c>
      <c r="D324" s="109"/>
    </row>
    <row r="325" spans="2:4" s="13" customFormat="1" ht="30.75">
      <c r="B325" s="83" t="str">
        <f>B298</f>
        <v>5. Samorządowe Przedszkole </v>
      </c>
      <c r="C325" s="108">
        <v>0</v>
      </c>
      <c r="D325" s="109"/>
    </row>
    <row r="326" spans="2:4" s="13" customFormat="1" ht="15.75">
      <c r="B326" s="11" t="str">
        <f>B299</f>
        <v>6. SP Wilczkowice</v>
      </c>
      <c r="C326" s="108">
        <f>86.77+725.19+682.62+27.91</f>
        <v>1522.49</v>
      </c>
      <c r="D326" s="109"/>
    </row>
    <row r="327" spans="2:4" s="13" customFormat="1" ht="31.5" customHeight="1">
      <c r="B327" s="11" t="s">
        <v>76</v>
      </c>
      <c r="C327" s="108">
        <v>2039.46</v>
      </c>
      <c r="D327" s="109"/>
    </row>
    <row r="328" spans="2:4" s="13" customFormat="1" ht="15.75">
      <c r="B328" s="16" t="s">
        <v>10</v>
      </c>
      <c r="C328" s="129">
        <f>SUM(C321:D327)</f>
        <v>15598.920000000002</v>
      </c>
      <c r="D328" s="167"/>
    </row>
    <row r="329" spans="2:4" s="13" customFormat="1" ht="15.75">
      <c r="B329" s="10"/>
      <c r="C329" s="31"/>
      <c r="D329" s="32"/>
    </row>
    <row r="330" s="13" customFormat="1" ht="15">
      <c r="B330" s="10" t="s">
        <v>122</v>
      </c>
    </row>
    <row r="331" s="13" customFormat="1" ht="15.75" customHeight="1"/>
    <row r="332" spans="2:4" s="13" customFormat="1" ht="39">
      <c r="B332" s="22" t="str">
        <f>B320</f>
        <v>Jednostka</v>
      </c>
      <c r="C332" s="23" t="s">
        <v>106</v>
      </c>
      <c r="D332" s="23" t="s">
        <v>61</v>
      </c>
    </row>
    <row r="333" spans="2:4" s="13" customFormat="1" ht="30">
      <c r="B333" s="83" t="s">
        <v>104</v>
      </c>
      <c r="C333" s="17">
        <f>181+70+415+500</f>
        <v>1166</v>
      </c>
      <c r="D333" s="49" t="s">
        <v>107</v>
      </c>
    </row>
    <row r="334" spans="2:4" s="13" customFormat="1" ht="30" customHeight="1">
      <c r="B334" s="59" t="s">
        <v>90</v>
      </c>
      <c r="C334" s="17">
        <f>355+3554+573</f>
        <v>4482</v>
      </c>
      <c r="D334" s="49" t="str">
        <f>D333</f>
        <v>wydatki na Ukrainę z Funduszu Pomocy</v>
      </c>
    </row>
    <row r="335" spans="2:4" s="13" customFormat="1" ht="33" customHeight="1">
      <c r="B335" s="59" t="str">
        <f>B323</f>
        <v>3. SP Kłucko</v>
      </c>
      <c r="C335" s="17">
        <f>1379+2064+355+902+142+27+3379</f>
        <v>8248</v>
      </c>
      <c r="D335" s="49" t="str">
        <f>D334</f>
        <v>wydatki na Ukrainę z Funduszu Pomocy</v>
      </c>
    </row>
    <row r="336" spans="2:6" s="13" customFormat="1" ht="31.5" customHeight="1">
      <c r="B336" s="59" t="s">
        <v>105</v>
      </c>
      <c r="C336" s="17">
        <f>12000+28278+5105+23285</f>
        <v>68668</v>
      </c>
      <c r="D336" s="49" t="str">
        <f>D335</f>
        <v>wydatki na Ukrainę z Funduszu Pomocy</v>
      </c>
      <c r="F336" s="54"/>
    </row>
    <row r="337" spans="2:7" s="13" customFormat="1" ht="15">
      <c r="B337" s="16" t="s">
        <v>11</v>
      </c>
      <c r="C337" s="18">
        <f>SUM(C333:C336)</f>
        <v>82564</v>
      </c>
      <c r="D337" s="18" t="s">
        <v>59</v>
      </c>
      <c r="F337" s="168"/>
      <c r="G337" s="127"/>
    </row>
    <row r="338" spans="2:6" s="13" customFormat="1" ht="21.75" customHeight="1">
      <c r="B338" s="10"/>
      <c r="C338" s="31"/>
      <c r="D338" s="32"/>
      <c r="F338" s="14"/>
    </row>
    <row r="339" s="33" customFormat="1" ht="17.25">
      <c r="B339" s="9" t="s">
        <v>124</v>
      </c>
    </row>
    <row r="340" s="8" customFormat="1" ht="15">
      <c r="B340" s="10"/>
    </row>
    <row r="341" spans="2:6" s="41" customFormat="1" ht="15.75">
      <c r="B341" s="40" t="s">
        <v>77</v>
      </c>
      <c r="C341" s="175" t="s">
        <v>125</v>
      </c>
      <c r="D341" s="176"/>
      <c r="E341" s="50" t="s">
        <v>126</v>
      </c>
      <c r="F341" s="40" t="s">
        <v>9</v>
      </c>
    </row>
    <row r="342" spans="2:6" s="41" customFormat="1" ht="15.75">
      <c r="B342" s="42" t="s">
        <v>16</v>
      </c>
      <c r="C342" s="156">
        <v>46290</v>
      </c>
      <c r="D342" s="157"/>
      <c r="E342" s="42">
        <v>33516.32</v>
      </c>
      <c r="F342" s="43">
        <f>E342/C342*100</f>
        <v>72.4050982933679</v>
      </c>
    </row>
    <row r="343" spans="2:6" s="41" customFormat="1" ht="15.75">
      <c r="B343" s="42" t="s">
        <v>64</v>
      </c>
      <c r="C343" s="156">
        <v>40483</v>
      </c>
      <c r="D343" s="157"/>
      <c r="E343" s="42">
        <v>30232.74</v>
      </c>
      <c r="F343" s="43">
        <f>E343/C343*100</f>
        <v>74.68008793814688</v>
      </c>
    </row>
    <row r="344" spans="2:6" s="41" customFormat="1" ht="15.75">
      <c r="B344" s="42" t="s">
        <v>65</v>
      </c>
      <c r="C344" s="156">
        <v>35000</v>
      </c>
      <c r="D344" s="157"/>
      <c r="E344" s="42">
        <v>32582.48</v>
      </c>
      <c r="F344" s="43">
        <f>E344/C344*100</f>
        <v>93.0928</v>
      </c>
    </row>
    <row r="345" spans="2:6" s="41" customFormat="1" ht="15.75" customHeight="1">
      <c r="B345" s="42" t="s">
        <v>78</v>
      </c>
      <c r="C345" s="156">
        <v>100700</v>
      </c>
      <c r="D345" s="157"/>
      <c r="E345" s="42">
        <v>85703.99</v>
      </c>
      <c r="F345" s="43">
        <f>E345/C345*100</f>
        <v>85.1082323733863</v>
      </c>
    </row>
    <row r="346" spans="2:6" s="41" customFormat="1" ht="30.75">
      <c r="B346" s="44" t="s">
        <v>79</v>
      </c>
      <c r="C346" s="156">
        <v>629400</v>
      </c>
      <c r="D346" s="157"/>
      <c r="E346" s="42">
        <v>172331.16</v>
      </c>
      <c r="F346" s="43">
        <f>E346/C346*100</f>
        <v>27.380228789323162</v>
      </c>
    </row>
    <row r="347" spans="2:6" s="41" customFormat="1" ht="15.75">
      <c r="B347" s="42" t="s">
        <v>80</v>
      </c>
      <c r="C347" s="156">
        <v>46892</v>
      </c>
      <c r="D347" s="157"/>
      <c r="E347" s="42">
        <v>39996.37</v>
      </c>
      <c r="F347" s="43">
        <f>E347/C347*100</f>
        <v>85.29465580482812</v>
      </c>
    </row>
    <row r="348" spans="2:6" s="41" customFormat="1" ht="15.75">
      <c r="B348" s="42" t="s">
        <v>76</v>
      </c>
      <c r="C348" s="156">
        <v>0</v>
      </c>
      <c r="D348" s="157"/>
      <c r="E348" s="42">
        <v>152.14</v>
      </c>
      <c r="F348" s="43">
        <v>0</v>
      </c>
    </row>
    <row r="349" spans="2:6" s="41" customFormat="1" ht="26.25" customHeight="1">
      <c r="B349" s="40" t="s">
        <v>81</v>
      </c>
      <c r="C349" s="158">
        <f>SUM(C342:D348)</f>
        <v>898765</v>
      </c>
      <c r="D349" s="159"/>
      <c r="E349" s="45">
        <f>SUM(E342:E348)</f>
        <v>394515.2</v>
      </c>
      <c r="F349" s="46">
        <f>E349/C349*100</f>
        <v>43.895256268323756</v>
      </c>
    </row>
    <row r="350" spans="2:6" s="41" customFormat="1" ht="19.5" customHeight="1">
      <c r="B350" s="94"/>
      <c r="C350" s="95"/>
      <c r="D350" s="96"/>
      <c r="E350" s="95"/>
      <c r="F350" s="97"/>
    </row>
    <row r="351" s="8" customFormat="1" ht="23.25" customHeight="1">
      <c r="B351" s="8" t="s">
        <v>94</v>
      </c>
    </row>
    <row r="352" s="8" customFormat="1" ht="24" customHeight="1">
      <c r="B352" s="8" t="s">
        <v>95</v>
      </c>
    </row>
    <row r="353" s="8" customFormat="1" ht="24" customHeight="1">
      <c r="B353" s="8" t="s">
        <v>96</v>
      </c>
    </row>
    <row r="354" s="8" customFormat="1" ht="24" customHeight="1">
      <c r="B354" s="8" t="s">
        <v>97</v>
      </c>
    </row>
    <row r="355" s="8" customFormat="1" ht="27.75" customHeight="1">
      <c r="B355" s="8" t="s">
        <v>98</v>
      </c>
    </row>
    <row r="356" s="8" customFormat="1" ht="27.75" customHeight="1">
      <c r="B356" s="8" t="s">
        <v>143</v>
      </c>
    </row>
    <row r="357" s="8" customFormat="1" ht="24" customHeight="1">
      <c r="B357" s="8" t="s">
        <v>154</v>
      </c>
    </row>
    <row r="358" s="8" customFormat="1" ht="24" customHeight="1"/>
    <row r="359" s="9" customFormat="1" ht="27.75" customHeight="1">
      <c r="B359" s="9" t="s">
        <v>82</v>
      </c>
    </row>
    <row r="360" s="9" customFormat="1" ht="17.25" customHeight="1"/>
    <row r="361" s="8" customFormat="1" ht="15">
      <c r="B361" s="8" t="s">
        <v>129</v>
      </c>
    </row>
    <row r="362" s="8" customFormat="1" ht="15">
      <c r="B362" s="8" t="s">
        <v>130</v>
      </c>
    </row>
    <row r="363" s="8" customFormat="1" ht="15">
      <c r="B363" s="8" t="s">
        <v>60</v>
      </c>
    </row>
    <row r="364" s="8" customFormat="1" ht="15">
      <c r="B364" s="8" t="s">
        <v>131</v>
      </c>
    </row>
    <row r="365" s="8" customFormat="1" ht="15">
      <c r="B365" s="8" t="s">
        <v>132</v>
      </c>
    </row>
    <row r="366" s="8" customFormat="1" ht="15">
      <c r="B366" s="8" t="s">
        <v>145</v>
      </c>
    </row>
    <row r="367" s="8" customFormat="1" ht="24" customHeight="1">
      <c r="B367" s="8" t="s">
        <v>128</v>
      </c>
    </row>
    <row r="368" s="8" customFormat="1" ht="15">
      <c r="B368" s="8" t="s">
        <v>127</v>
      </c>
    </row>
    <row r="369" s="8" customFormat="1" ht="15">
      <c r="B369" s="8" t="s">
        <v>137</v>
      </c>
    </row>
    <row r="370" s="8" customFormat="1" ht="15">
      <c r="B370" s="8" t="s">
        <v>151</v>
      </c>
    </row>
    <row r="371" s="8" customFormat="1" ht="15">
      <c r="B371" s="8" t="s">
        <v>152</v>
      </c>
    </row>
    <row r="372" s="8" customFormat="1" ht="15">
      <c r="B372" s="8" t="s">
        <v>144</v>
      </c>
    </row>
    <row r="373" s="8" customFormat="1" ht="15" customHeight="1">
      <c r="B373" s="8" t="s">
        <v>153</v>
      </c>
    </row>
    <row r="374" s="8" customFormat="1" ht="15">
      <c r="B374" s="8" t="s">
        <v>146</v>
      </c>
    </row>
    <row r="375" s="8" customFormat="1" ht="15"/>
    <row r="376" s="8" customFormat="1" ht="15">
      <c r="B376" s="8" t="s">
        <v>29</v>
      </c>
    </row>
    <row r="377" s="8" customFormat="1" ht="15">
      <c r="B377" s="8" t="s">
        <v>133</v>
      </c>
    </row>
    <row r="378" s="8" customFormat="1" ht="15">
      <c r="B378" s="8" t="s">
        <v>134</v>
      </c>
    </row>
    <row r="379" s="8" customFormat="1" ht="15">
      <c r="B379" s="8" t="s">
        <v>147</v>
      </c>
    </row>
    <row r="380" s="8" customFormat="1" ht="15">
      <c r="B380" s="8" t="s">
        <v>148</v>
      </c>
    </row>
    <row r="381" s="8" customFormat="1" ht="15">
      <c r="B381" s="8" t="s">
        <v>135</v>
      </c>
    </row>
    <row r="382" s="8" customFormat="1" ht="15"/>
    <row r="383" s="8" customFormat="1" ht="15">
      <c r="B383" s="8" t="s">
        <v>56</v>
      </c>
    </row>
    <row r="384" s="8" customFormat="1" ht="15">
      <c r="B384" s="8" t="s">
        <v>149</v>
      </c>
    </row>
    <row r="385" s="8" customFormat="1" ht="15"/>
    <row r="386" s="8" customFormat="1" ht="15">
      <c r="B386" s="10" t="s">
        <v>46</v>
      </c>
    </row>
    <row r="387" s="8" customFormat="1" ht="15">
      <c r="B387" s="8" t="s">
        <v>136</v>
      </c>
    </row>
    <row r="388" s="8" customFormat="1" ht="15">
      <c r="B388" s="8" t="s">
        <v>150</v>
      </c>
    </row>
    <row r="389" s="8" customFormat="1" ht="15"/>
    <row r="390" s="8" customFormat="1" ht="15">
      <c r="B390" s="10" t="s">
        <v>30</v>
      </c>
    </row>
    <row r="391" s="8" customFormat="1" ht="15">
      <c r="B391" s="8" t="s">
        <v>31</v>
      </c>
    </row>
    <row r="392" s="8" customFormat="1" ht="15">
      <c r="B392" s="8" t="s">
        <v>32</v>
      </c>
    </row>
    <row r="393" s="8" customFormat="1" ht="15"/>
    <row r="394" s="8" customFormat="1" ht="15"/>
    <row r="395" s="8" customFormat="1" ht="15"/>
    <row r="396" s="8" customFormat="1" ht="15"/>
  </sheetData>
  <sheetProtection/>
  <mergeCells count="142">
    <mergeCell ref="B70:B76"/>
    <mergeCell ref="D105:F105"/>
    <mergeCell ref="D112:F112"/>
    <mergeCell ref="D230:D231"/>
    <mergeCell ref="B193:B196"/>
    <mergeCell ref="B90:B94"/>
    <mergeCell ref="B198:B204"/>
    <mergeCell ref="C341:D341"/>
    <mergeCell ref="D109:F109"/>
    <mergeCell ref="E221:G221"/>
    <mergeCell ref="E219:G219"/>
    <mergeCell ref="E220:G220"/>
    <mergeCell ref="D118:F118"/>
    <mergeCell ref="B124:C124"/>
    <mergeCell ref="D125:F125"/>
    <mergeCell ref="B126:B129"/>
    <mergeCell ref="D126:F126"/>
    <mergeCell ref="D124:F124"/>
    <mergeCell ref="D128:F128"/>
    <mergeCell ref="D129:F129"/>
    <mergeCell ref="D119:F119"/>
    <mergeCell ref="D121:F121"/>
    <mergeCell ref="D123:F123"/>
    <mergeCell ref="B226:B227"/>
    <mergeCell ref="C342:D342"/>
    <mergeCell ref="C343:D343"/>
    <mergeCell ref="C344:D344"/>
    <mergeCell ref="C345:D345"/>
    <mergeCell ref="C346:D346"/>
    <mergeCell ref="C347:D347"/>
    <mergeCell ref="E217:G217"/>
    <mergeCell ref="E218:G218"/>
    <mergeCell ref="C326:D326"/>
    <mergeCell ref="C327:D327"/>
    <mergeCell ref="C328:D328"/>
    <mergeCell ref="F337:G337"/>
    <mergeCell ref="C348:D348"/>
    <mergeCell ref="C349:D349"/>
    <mergeCell ref="B41:C41"/>
    <mergeCell ref="B42:B50"/>
    <mergeCell ref="B51:C51"/>
    <mergeCell ref="B108:C108"/>
    <mergeCell ref="D103:F103"/>
    <mergeCell ref="D102:F102"/>
    <mergeCell ref="B77:C77"/>
    <mergeCell ref="B89:C89"/>
    <mergeCell ref="B95:C95"/>
    <mergeCell ref="B103:B107"/>
    <mergeCell ref="D104:F104"/>
    <mergeCell ref="D106:F106"/>
    <mergeCell ref="D107:F107"/>
    <mergeCell ref="D108:F108"/>
    <mergeCell ref="B133:B136"/>
    <mergeCell ref="B61:C61"/>
    <mergeCell ref="B52:B60"/>
    <mergeCell ref="B69:C69"/>
    <mergeCell ref="E213:G213"/>
    <mergeCell ref="E214:G214"/>
    <mergeCell ref="E215:G215"/>
    <mergeCell ref="E216:G216"/>
    <mergeCell ref="D136:F136"/>
    <mergeCell ref="B139:B145"/>
    <mergeCell ref="D145:F145"/>
    <mergeCell ref="B110:B115"/>
    <mergeCell ref="D110:F110"/>
    <mergeCell ref="B116:C116"/>
    <mergeCell ref="D117:F117"/>
    <mergeCell ref="D111:F111"/>
    <mergeCell ref="D113:F113"/>
    <mergeCell ref="D114:F114"/>
    <mergeCell ref="D115:F115"/>
    <mergeCell ref="D116:F116"/>
    <mergeCell ref="D131:F131"/>
    <mergeCell ref="D134:F134"/>
    <mergeCell ref="D141:F141"/>
    <mergeCell ref="B175:B180"/>
    <mergeCell ref="B181:C181"/>
    <mergeCell ref="D137:F137"/>
    <mergeCell ref="B249:B250"/>
    <mergeCell ref="B169:B173"/>
    <mergeCell ref="B150:C150"/>
    <mergeCell ref="D139:F139"/>
    <mergeCell ref="B146:C146"/>
    <mergeCell ref="D147:F147"/>
    <mergeCell ref="D148:F148"/>
    <mergeCell ref="C294:D294"/>
    <mergeCell ref="C295:D295"/>
    <mergeCell ref="C296:D296"/>
    <mergeCell ref="C297:D297"/>
    <mergeCell ref="C298:D298"/>
    <mergeCell ref="C299:D299"/>
    <mergeCell ref="C300:D300"/>
    <mergeCell ref="B258:B259"/>
    <mergeCell ref="B206:B207"/>
    <mergeCell ref="H298:I298"/>
    <mergeCell ref="D143:F143"/>
    <mergeCell ref="D122:F122"/>
    <mergeCell ref="B253:B255"/>
    <mergeCell ref="C301:D301"/>
    <mergeCell ref="B174:C174"/>
    <mergeCell ref="B208:C208"/>
    <mergeCell ref="B209:C209"/>
    <mergeCell ref="B148:B149"/>
    <mergeCell ref="D142:F142"/>
    <mergeCell ref="D149:F149"/>
    <mergeCell ref="D150:F150"/>
    <mergeCell ref="B118:B123"/>
    <mergeCell ref="D135:F135"/>
    <mergeCell ref="D140:F140"/>
    <mergeCell ref="D144:F144"/>
    <mergeCell ref="D146:F146"/>
    <mergeCell ref="B131:C131"/>
    <mergeCell ref="D132:F132"/>
    <mergeCell ref="D133:F133"/>
    <mergeCell ref="B137:C137"/>
    <mergeCell ref="D138:F138"/>
    <mergeCell ref="D130:F130"/>
    <mergeCell ref="H151:I151"/>
    <mergeCell ref="B33:B40"/>
    <mergeCell ref="B62:B68"/>
    <mergeCell ref="B78:B88"/>
    <mergeCell ref="C320:D320"/>
    <mergeCell ref="C321:D321"/>
    <mergeCell ref="C322:D322"/>
    <mergeCell ref="C323:D323"/>
    <mergeCell ref="C324:D324"/>
    <mergeCell ref="C325:D325"/>
    <mergeCell ref="B182:B186"/>
    <mergeCell ref="B187:C187"/>
    <mergeCell ref="B192:C192"/>
    <mergeCell ref="B205:C205"/>
    <mergeCell ref="B251:B252"/>
    <mergeCell ref="B256:B257"/>
    <mergeCell ref="B242:B244"/>
    <mergeCell ref="B234:B235"/>
    <mergeCell ref="B245:B248"/>
    <mergeCell ref="B221:C221"/>
    <mergeCell ref="D151:F151"/>
    <mergeCell ref="D120:F120"/>
    <mergeCell ref="D127:F127"/>
    <mergeCell ref="B96:C96"/>
    <mergeCell ref="C293:D293"/>
  </mergeCells>
  <printOptions/>
  <pageMargins left="0.2362204724409449" right="0.2362204724409449" top="0.5511811023622047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4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1.7109375" style="0" customWidth="1"/>
    <col min="2" max="2" width="19.140625" style="0" customWidth="1"/>
    <col min="3" max="3" width="13.140625" style="0" customWidth="1"/>
    <col min="4" max="5" width="13.421875" style="0" customWidth="1"/>
    <col min="6" max="6" width="13.7109375" style="0" customWidth="1"/>
    <col min="7" max="7" width="14.140625" style="0" customWidth="1"/>
    <col min="8" max="8" width="15.140625" style="0" customWidth="1"/>
    <col min="9" max="9" width="14.28125" style="0" customWidth="1"/>
  </cols>
  <sheetData>
    <row r="1" s="1" customFormat="1" ht="15"/>
    <row r="2" s="1" customFormat="1" ht="15">
      <c r="G2" s="1" t="s">
        <v>91</v>
      </c>
    </row>
    <row r="3" s="1" customFormat="1" ht="15"/>
    <row r="4" s="1" customFormat="1" ht="15">
      <c r="C4" s="6" t="s">
        <v>85</v>
      </c>
    </row>
    <row r="5" s="1" customFormat="1" ht="15"/>
    <row r="6" s="1" customFormat="1" ht="15"/>
    <row r="7" spans="2:9" s="2" customFormat="1" ht="15"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10</v>
      </c>
    </row>
    <row r="8" spans="2:9" s="1" customFormat="1" ht="33.75" customHeight="1">
      <c r="B8" s="4" t="s">
        <v>86</v>
      </c>
      <c r="C8" s="5">
        <v>38638.56</v>
      </c>
      <c r="D8" s="5">
        <v>56138.43</v>
      </c>
      <c r="E8" s="5">
        <v>50645.19</v>
      </c>
      <c r="F8" s="5">
        <v>23939.96</v>
      </c>
      <c r="G8" s="5">
        <v>96774.03</v>
      </c>
      <c r="H8" s="5">
        <v>50885.5</v>
      </c>
      <c r="I8" s="5">
        <f>SUM(C8:H8)</f>
        <v>317021.67</v>
      </c>
    </row>
    <row r="9" spans="2:9" s="1" customFormat="1" ht="51" customHeight="1">
      <c r="B9" s="4" t="s">
        <v>87</v>
      </c>
      <c r="C9" s="5">
        <v>6607.16</v>
      </c>
      <c r="D9" s="5">
        <v>9650.17</v>
      </c>
      <c r="E9" s="5">
        <v>8660.32</v>
      </c>
      <c r="F9" s="5">
        <v>4093.74</v>
      </c>
      <c r="G9" s="5">
        <v>16635.23</v>
      </c>
      <c r="H9" s="5">
        <v>8701.38</v>
      </c>
      <c r="I9" s="5">
        <f>SUM(C9:H9)</f>
        <v>54347.99999999999</v>
      </c>
    </row>
    <row r="10" spans="2:9" s="1" customFormat="1" ht="36" customHeight="1">
      <c r="B10" s="4" t="s">
        <v>88</v>
      </c>
      <c r="C10" s="5">
        <v>442.22</v>
      </c>
      <c r="D10" s="5">
        <v>898.62</v>
      </c>
      <c r="E10" s="5">
        <v>809.96</v>
      </c>
      <c r="F10" s="5">
        <v>519.46</v>
      </c>
      <c r="G10" s="5">
        <v>1379.3</v>
      </c>
      <c r="H10" s="5">
        <v>913.3</v>
      </c>
      <c r="I10" s="5">
        <f>SUM(C10:H10)</f>
        <v>4962.860000000001</v>
      </c>
    </row>
    <row r="11" spans="2:9" s="1" customFormat="1" ht="30">
      <c r="B11" s="4" t="s">
        <v>89</v>
      </c>
      <c r="C11" s="5">
        <v>0</v>
      </c>
      <c r="D11" s="5">
        <v>0</v>
      </c>
      <c r="E11" s="5">
        <v>0</v>
      </c>
      <c r="F11" s="5">
        <v>0</v>
      </c>
      <c r="G11" s="5">
        <v>452.01</v>
      </c>
      <c r="H11" s="5">
        <v>40.52</v>
      </c>
      <c r="I11" s="5">
        <f>SUM(C11:H11)</f>
        <v>492.53</v>
      </c>
    </row>
    <row r="12" spans="2:9" s="1" customFormat="1" ht="22.5" customHeight="1">
      <c r="B12" s="3" t="s">
        <v>10</v>
      </c>
      <c r="C12" s="7">
        <f>SUM(C8:C11)</f>
        <v>45687.94</v>
      </c>
      <c r="D12" s="7">
        <f aca="true" t="shared" si="0" ref="D12:I12">SUM(D8:D11)</f>
        <v>66687.22</v>
      </c>
      <c r="E12" s="7">
        <f t="shared" si="0"/>
        <v>60115.47</v>
      </c>
      <c r="F12" s="7">
        <f t="shared" si="0"/>
        <v>28553.159999999996</v>
      </c>
      <c r="G12" s="7">
        <f t="shared" si="0"/>
        <v>115240.56999999999</v>
      </c>
      <c r="H12" s="7">
        <f t="shared" si="0"/>
        <v>60540.7</v>
      </c>
      <c r="I12" s="7">
        <f t="shared" si="0"/>
        <v>376825.06</v>
      </c>
    </row>
    <row r="13" s="1" customFormat="1" ht="15"/>
    <row r="14" s="1" customFormat="1" ht="15">
      <c r="G14" s="1" t="s">
        <v>138</v>
      </c>
    </row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J27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1.7109375" style="0" customWidth="1"/>
    <col min="2" max="2" width="16.28125" style="0" customWidth="1"/>
    <col min="3" max="3" width="13.57421875" style="0" customWidth="1"/>
    <col min="4" max="4" width="14.00390625" style="0" customWidth="1"/>
    <col min="5" max="5" width="13.421875" style="0" customWidth="1"/>
    <col min="6" max="6" width="14.00390625" style="0" customWidth="1"/>
    <col min="7" max="7" width="14.140625" style="0" customWidth="1"/>
    <col min="8" max="8" width="14.421875" style="0" customWidth="1"/>
    <col min="9" max="9" width="13.57421875" style="0" customWidth="1"/>
    <col min="10" max="10" width="14.28125" style="0" customWidth="1"/>
  </cols>
  <sheetData>
    <row r="1" s="1" customFormat="1" ht="15"/>
    <row r="2" s="1" customFormat="1" ht="15"/>
    <row r="3" s="1" customFormat="1" ht="15"/>
    <row r="4" s="1" customFormat="1" ht="15">
      <c r="C4" s="6" t="s">
        <v>139</v>
      </c>
    </row>
    <row r="5" s="1" customFormat="1" ht="15"/>
    <row r="6" s="1" customFormat="1" ht="9" customHeight="1"/>
    <row r="7" spans="2:10" s="2" customFormat="1" ht="24.75" customHeight="1"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10</v>
      </c>
    </row>
    <row r="8" spans="2:10" s="1" customFormat="1" ht="33.75" customHeight="1">
      <c r="B8" s="4" t="s">
        <v>43</v>
      </c>
      <c r="C8" s="5">
        <v>1519719</v>
      </c>
      <c r="D8" s="5">
        <v>1496843</v>
      </c>
      <c r="E8" s="5">
        <v>1431864</v>
      </c>
      <c r="F8" s="5">
        <v>243604</v>
      </c>
      <c r="G8" s="5">
        <v>2825552</v>
      </c>
      <c r="H8" s="5">
        <v>1579644</v>
      </c>
      <c r="I8" s="5">
        <v>0</v>
      </c>
      <c r="J8" s="5">
        <f aca="true" t="shared" si="0" ref="J8:J14">SUM(C8:I8)</f>
        <v>9097226</v>
      </c>
    </row>
    <row r="9" spans="2:10" s="1" customFormat="1" ht="36.75" customHeight="1">
      <c r="B9" s="4" t="s">
        <v>42</v>
      </c>
      <c r="C9" s="5">
        <v>545257.62</v>
      </c>
      <c r="D9" s="5">
        <v>864932.9</v>
      </c>
      <c r="E9" s="5">
        <v>610077.9</v>
      </c>
      <c r="F9" s="5">
        <v>1457818.99</v>
      </c>
      <c r="G9" s="5">
        <v>1731345.69</v>
      </c>
      <c r="H9" s="5">
        <v>775767.73</v>
      </c>
      <c r="I9" s="5">
        <f>1319368.45+292000</f>
        <v>1611368.45</v>
      </c>
      <c r="J9" s="5">
        <f t="shared" si="0"/>
        <v>7596569.28</v>
      </c>
    </row>
    <row r="10" spans="2:10" s="1" customFormat="1" ht="36" customHeight="1">
      <c r="B10" s="4" t="s">
        <v>45</v>
      </c>
      <c r="C10" s="5">
        <v>6676.14</v>
      </c>
      <c r="D10" s="5">
        <v>8196.42</v>
      </c>
      <c r="E10" s="5">
        <v>5369.4</v>
      </c>
      <c r="F10" s="5">
        <v>0</v>
      </c>
      <c r="G10" s="5">
        <v>23708.82</v>
      </c>
      <c r="H10" s="5">
        <v>8401.8</v>
      </c>
      <c r="I10" s="5">
        <v>0</v>
      </c>
      <c r="J10" s="5">
        <f t="shared" si="0"/>
        <v>52352.58</v>
      </c>
    </row>
    <row r="11" spans="2:10" s="1" customFormat="1" ht="40.5" customHeight="1">
      <c r="B11" s="4" t="s">
        <v>140</v>
      </c>
      <c r="C11" s="5">
        <v>0</v>
      </c>
      <c r="D11" s="5">
        <v>0</v>
      </c>
      <c r="E11" s="5">
        <v>8248</v>
      </c>
      <c r="F11" s="5">
        <v>1166</v>
      </c>
      <c r="G11" s="5">
        <v>4482</v>
      </c>
      <c r="H11" s="5">
        <v>68668</v>
      </c>
      <c r="I11" s="5">
        <v>0</v>
      </c>
      <c r="J11" s="5">
        <f t="shared" si="0"/>
        <v>82564</v>
      </c>
    </row>
    <row r="12" spans="2:10" s="1" customFormat="1" ht="45">
      <c r="B12" s="4" t="s">
        <v>44</v>
      </c>
      <c r="C12" s="5">
        <v>6024</v>
      </c>
      <c r="D12" s="5">
        <v>7530</v>
      </c>
      <c r="E12" s="5">
        <v>20582</v>
      </c>
      <c r="F12" s="5">
        <v>215870.05</v>
      </c>
      <c r="G12" s="5">
        <v>0</v>
      </c>
      <c r="H12" s="5">
        <v>9538</v>
      </c>
      <c r="I12" s="5">
        <v>0</v>
      </c>
      <c r="J12" s="5">
        <f t="shared" si="0"/>
        <v>259544.05</v>
      </c>
    </row>
    <row r="13" spans="2:10" s="1" customFormat="1" ht="30">
      <c r="B13" s="4" t="s">
        <v>93</v>
      </c>
      <c r="C13" s="5">
        <v>0</v>
      </c>
      <c r="D13" s="5">
        <v>5000</v>
      </c>
      <c r="E13" s="5">
        <v>0</v>
      </c>
      <c r="F13" s="5">
        <v>0</v>
      </c>
      <c r="G13" s="5">
        <v>0</v>
      </c>
      <c r="H13" s="5">
        <v>18408</v>
      </c>
      <c r="I13" s="5">
        <v>0</v>
      </c>
      <c r="J13" s="5">
        <f t="shared" si="0"/>
        <v>23408</v>
      </c>
    </row>
    <row r="14" spans="2:10" s="1" customFormat="1" ht="72.75" customHeight="1">
      <c r="B14" s="92" t="s">
        <v>141</v>
      </c>
      <c r="C14" s="5">
        <v>4000</v>
      </c>
      <c r="D14" s="5">
        <v>4000</v>
      </c>
      <c r="E14" s="5">
        <v>5500</v>
      </c>
      <c r="F14" s="5">
        <v>0</v>
      </c>
      <c r="G14" s="5">
        <v>0</v>
      </c>
      <c r="H14" s="5">
        <v>0</v>
      </c>
      <c r="I14" s="5">
        <v>0</v>
      </c>
      <c r="J14" s="5">
        <f t="shared" si="0"/>
        <v>13500</v>
      </c>
    </row>
    <row r="15" spans="2:10" s="1" customFormat="1" ht="22.5" customHeight="1">
      <c r="B15" s="3" t="s">
        <v>10</v>
      </c>
      <c r="C15" s="7">
        <f aca="true" t="shared" si="1" ref="C15:J15">SUM(C8:C14)</f>
        <v>2081676.76</v>
      </c>
      <c r="D15" s="7">
        <f t="shared" si="1"/>
        <v>2386502.32</v>
      </c>
      <c r="E15" s="7">
        <f t="shared" si="1"/>
        <v>2081641.2999999998</v>
      </c>
      <c r="F15" s="7">
        <f t="shared" si="1"/>
        <v>1918459.04</v>
      </c>
      <c r="G15" s="7">
        <f t="shared" si="1"/>
        <v>4585088.51</v>
      </c>
      <c r="H15" s="7">
        <f t="shared" si="1"/>
        <v>2460427.53</v>
      </c>
      <c r="I15" s="7">
        <f t="shared" si="1"/>
        <v>1611368.45</v>
      </c>
      <c r="J15" s="7">
        <f t="shared" si="1"/>
        <v>17125163.91</v>
      </c>
    </row>
    <row r="16" s="1" customFormat="1" ht="15"/>
    <row r="17" s="1" customFormat="1" ht="15">
      <c r="F17" s="1" t="s">
        <v>138</v>
      </c>
    </row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>
      <c r="H25" s="1">
        <f>262588+125624+24408+309912+109795</f>
        <v>832327</v>
      </c>
    </row>
    <row r="26" s="1" customFormat="1" ht="15">
      <c r="H26" s="1">
        <v>669427.97</v>
      </c>
    </row>
    <row r="27" s="1" customFormat="1" ht="15">
      <c r="H27" s="1">
        <f>H25-H26</f>
        <v>162899.03000000003</v>
      </c>
    </row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Ewelina Jańczyk</cp:lastModifiedBy>
  <cp:lastPrinted>2023-12-05T09:25:14Z</cp:lastPrinted>
  <dcterms:created xsi:type="dcterms:W3CDTF">2020-02-25T08:35:01Z</dcterms:created>
  <dcterms:modified xsi:type="dcterms:W3CDTF">2023-12-05T12:09:21Z</dcterms:modified>
  <cp:category/>
  <cp:version/>
  <cp:contentType/>
  <cp:contentStatus/>
</cp:coreProperties>
</file>